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bookViews>
    <workbookView xWindow="15075" yWindow="165" windowWidth="9285" windowHeight="12675"/>
  </bookViews>
  <sheets>
    <sheet name="NEW-Tables 80-86" sheetId="14" r:id="rId1"/>
    <sheet name="OLD Tables" sheetId="21" r:id="rId2"/>
    <sheet name="FTE Pivot for regular counts" sheetId="9" r:id="rId3"/>
    <sheet name="Pivot-HS Student % of Undergrad" sheetId="16" r:id="rId4"/>
    <sheet name="SCH Data" sheetId="6" r:id="rId5"/>
    <sheet name="Format for FTE" sheetId="19" r:id="rId6"/>
    <sheet name="Format for HS%" sheetId="20" r:id="rId7"/>
  </sheets>
  <definedNames>
    <definedName name="APPHEAD" localSheetId="1">#REF!</definedName>
    <definedName name="CH11ug1" localSheetId="4">'SCH Data'!$Y$549:$Y$616</definedName>
    <definedName name="CH11ug2_1" localSheetId="4">'SCH Data'!$AA$549:$AA$616</definedName>
    <definedName name="CH11ug3_1" localSheetId="4">'SCH Data'!$AC$549:$AC$616</definedName>
    <definedName name="CH11ug4_1" localSheetId="4">'SCH Data'!$AE$549:$AE$616</definedName>
    <definedName name="CHHEAD" localSheetId="1">#REF!</definedName>
    <definedName name="Dual07" localSheetId="4">'SCH Data'!$T$396:$T$432</definedName>
    <definedName name="Dual07_1" localSheetId="4">'SCH Data'!$T$514:$T$529</definedName>
    <definedName name="Dual07_2" localSheetId="4">'SCH Data'!$T$465:$T$513</definedName>
    <definedName name="Dual08" localSheetId="4">'SCH Data'!#REF!</definedName>
    <definedName name="Dual08_1" localSheetId="4">'SCH Data'!$T$386:$T$432</definedName>
    <definedName name="Dual08_2" localSheetId="4">'SCH Data'!#REF!</definedName>
    <definedName name="Dual11_1" localSheetId="4">'SCH Data'!$U$514:$U$619</definedName>
    <definedName name="JrCH08ug1" localSheetId="4">'SCH Data'!#REF!</definedName>
    <definedName name="JrCH08ug1_1" localSheetId="4">'SCH Data'!$X$402:$X$432</definedName>
    <definedName name="JrCH08ug1_2" localSheetId="4">'SCH Data'!#REF!</definedName>
    <definedName name="JrCH08ug2" localSheetId="4">'SCH Data'!#REF!</definedName>
    <definedName name="JrCH08ug2_1" localSheetId="4">'SCH Data'!$Z$402:$Z$432</definedName>
    <definedName name="JrCH08ug2_2" localSheetId="4">'SCH Data'!#REF!</definedName>
    <definedName name="JrCH08ug3" localSheetId="4">'SCH Data'!#REF!</definedName>
    <definedName name="JrCH08ug3_1" localSheetId="4">'SCH Data'!$AB$402:$AB$432</definedName>
    <definedName name="JrCH08ug3_2" localSheetId="4">'SCH Data'!#REF!</definedName>
    <definedName name="JrCH08ug4" localSheetId="4">'SCH Data'!#REF!</definedName>
    <definedName name="JrCH08ug4_1" localSheetId="4">'SCH Data'!$AD$402:$AD$432</definedName>
    <definedName name="JrCH08ug4_2" localSheetId="4">'SCH Data'!#REF!</definedName>
    <definedName name="JrSCH08ug1" localSheetId="4">'SCH Data'!#REF!</definedName>
    <definedName name="JrSCH08ug1_1" localSheetId="4">'SCH Data'!$H$402:$H$432</definedName>
    <definedName name="JrSCH08ug2" localSheetId="4">'SCH Data'!#REF!</definedName>
    <definedName name="JrSCH08ug2_1" localSheetId="4">'SCH Data'!$J$402:$J$432</definedName>
    <definedName name="JrSCH08ug2_2" localSheetId="4">'SCH Data'!#REF!</definedName>
    <definedName name="JrSCH08ug3" localSheetId="4">'SCH Data'!#REF!</definedName>
    <definedName name="JrSCH08ug3_1" localSheetId="4">'SCH Data'!$L$402:$L$432</definedName>
    <definedName name="JrSCH08ug3_2" localSheetId="4">'SCH Data'!#REF!</definedName>
    <definedName name="JrSCH08ug4" localSheetId="4">'SCH Data'!#REF!</definedName>
    <definedName name="JrSCH08ug4_1" localSheetId="4">'SCH Data'!$N$402:$N$432</definedName>
    <definedName name="JrSCH08ug4_2" localSheetId="4">'SCH Data'!#REF!</definedName>
    <definedName name="PAGE_17" localSheetId="1">#REF!</definedName>
    <definedName name="PAGE1" localSheetId="1">#REF!</definedName>
    <definedName name="PAGE10" localSheetId="1">#REF!</definedName>
    <definedName name="PAGE11" localSheetId="1">#REF!</definedName>
    <definedName name="PAGE12" localSheetId="1">#REF!</definedName>
    <definedName name="PAGE13" localSheetId="1">#REF!</definedName>
    <definedName name="PAGE14" localSheetId="1">#REF!</definedName>
    <definedName name="PAGE15" localSheetId="1">#REF!</definedName>
    <definedName name="PAGE16" localSheetId="1">#REF!</definedName>
    <definedName name="PAGE17" localSheetId="1">#REF!</definedName>
    <definedName name="PAGE18" localSheetId="1">#REF!</definedName>
    <definedName name="PAGE19" localSheetId="1">#REF!</definedName>
    <definedName name="PAGE2" localSheetId="1">#REF!</definedName>
    <definedName name="PAGE20" localSheetId="1">#REF!</definedName>
    <definedName name="PAGE3" localSheetId="1">#REF!</definedName>
    <definedName name="PAGE4" localSheetId="1">#REF!</definedName>
    <definedName name="PAGE5" localSheetId="1">#REF!</definedName>
    <definedName name="PAGE6" localSheetId="1">#REF!</definedName>
    <definedName name="PAGE7" localSheetId="1">#REF!</definedName>
    <definedName name="PAGE8" localSheetId="1">#REF!</definedName>
    <definedName name="PAGE9" localSheetId="1">#REF!</definedName>
    <definedName name="PART1" localSheetId="1">#REF!</definedName>
    <definedName name="PART2" localSheetId="1">#REF!</definedName>
    <definedName name="PART3" localSheetId="1">#REF!</definedName>
    <definedName name="PART4A" localSheetId="1">#REF!</definedName>
    <definedName name="PART4B" localSheetId="1">#REF!</definedName>
    <definedName name="PART5" localSheetId="1">#REF!</definedName>
    <definedName name="PART6A" localSheetId="1">#REF!</definedName>
    <definedName name="PART6B" localSheetId="1">#REF!</definedName>
    <definedName name="PART6C" localSheetId="1">#REF!</definedName>
    <definedName name="PART7B" localSheetId="1">#REF!</definedName>
    <definedName name="PART7C" localSheetId="1">#REF!</definedName>
    <definedName name="PART8" localSheetId="1">#REF!</definedName>
    <definedName name="_xlnm.Print_Area" localSheetId="2">'FTE Pivot for regular counts'!$C$5:$R$196</definedName>
    <definedName name="_xlnm.Print_Area" localSheetId="0">'NEW-Tables 80-86'!$A$1:$O$214</definedName>
    <definedName name="_xlnm.Print_Area" localSheetId="1">'OLD Tables'!$A$1:$O$216</definedName>
    <definedName name="_xlnm.Print_Area" localSheetId="3">'Pivot-HS Student % of Undergrad'!$C$6:$T$101</definedName>
    <definedName name="_xlnm.Print_Area" localSheetId="4">'SCH Data'!$A$3</definedName>
    <definedName name="_xlnm.Print_Area">#REF!</definedName>
    <definedName name="_xlnm.Print_Titles" localSheetId="2">'FTE Pivot for regular counts'!$A:$B,'FTE Pivot for regular counts'!$2:$4</definedName>
    <definedName name="_xlnm.Print_Titles" localSheetId="3">'Pivot-HS Student % of Undergrad'!$A:$B,'Pivot-HS Student % of Undergrad'!$4:$5</definedName>
    <definedName name="_xlnm.Print_Titles" localSheetId="4">'SCH Data'!$B:$B</definedName>
    <definedName name="RATIONALE" localSheetId="1">#REF!</definedName>
    <definedName name="RATIONALE2" localSheetId="1">#REF!</definedName>
    <definedName name="SALHEAD" localSheetId="1">#REF!</definedName>
    <definedName name="SrSCH08gr2" localSheetId="4">'SCH Data'!#REF!</definedName>
    <definedName name="SrSCH08gr2_1" localSheetId="4">'SCH Data'!$AP$386:$AP$401</definedName>
    <definedName name="SrSCH08gr3" localSheetId="4">'SCH Data'!#REF!</definedName>
    <definedName name="SrSCH08gr3_1" localSheetId="4">'SCH Data'!$AR$386:$AR$401</definedName>
    <definedName name="SrSCH08gr4" localSheetId="4">'SCH Data'!#REF!</definedName>
    <definedName name="SrSCH08gr4_1" localSheetId="4">'SCH Data'!$AT$386:$AT$401</definedName>
    <definedName name="SrSCH08ug2" localSheetId="4">'SCH Data'!#REF!</definedName>
    <definedName name="SrSCH08ug2_1" localSheetId="4">'SCH Data'!$J$386:$J$401</definedName>
    <definedName name="SrSCH08ug3" localSheetId="4">'SCH Data'!#REF!</definedName>
    <definedName name="SrSCH08ug3_1" localSheetId="4">'SCH Data'!$L$386:$L$401</definedName>
    <definedName name="SrSCH08ug4" localSheetId="4">'SCH Data'!#REF!</definedName>
    <definedName name="SrSCH08ug4_1" localSheetId="4">'SCH Data'!$N$386:$N$401</definedName>
  </definedNames>
  <calcPr calcId="145621"/>
  <pivotCaches>
    <pivotCache cacheId="2" r:id="rId8"/>
    <pivotCache cacheId="3" r:id="rId9"/>
  </pivotCaches>
</workbook>
</file>

<file path=xl/calcChain.xml><?xml version="1.0" encoding="utf-8"?>
<calcChain xmlns="http://schemas.openxmlformats.org/spreadsheetml/2006/main">
  <c r="H225" i="14" l="1"/>
  <c r="H226" i="14"/>
  <c r="H227" i="14"/>
  <c r="H228" i="14"/>
  <c r="H229" i="14"/>
  <c r="H230" i="14"/>
  <c r="H231" i="14"/>
  <c r="H233" i="14"/>
  <c r="H234" i="14"/>
  <c r="H235" i="14"/>
  <c r="H236" i="14"/>
  <c r="H237" i="14"/>
  <c r="H238" i="14"/>
  <c r="H239" i="14"/>
  <c r="D232" i="14"/>
  <c r="D235" i="14"/>
  <c r="D234" i="14"/>
  <c r="D233" i="14"/>
  <c r="D222" i="14"/>
  <c r="M13" i="21"/>
  <c r="D226" i="14"/>
  <c r="D227" i="14"/>
  <c r="D228" i="14"/>
  <c r="D236" i="14"/>
  <c r="D229" i="14"/>
  <c r="D237" i="14"/>
  <c r="D230" i="14"/>
  <c r="D238" i="14"/>
  <c r="D231" i="14"/>
  <c r="D239" i="14"/>
  <c r="D224" i="14"/>
  <c r="D225" i="14"/>
  <c r="H232" i="14" l="1"/>
  <c r="W207" i="14"/>
  <c r="U207" i="14"/>
  <c r="S207" i="14"/>
  <c r="R616" i="6" l="1"/>
  <c r="R617" i="6"/>
  <c r="R618" i="6"/>
  <c r="R619" i="6"/>
  <c r="R629" i="6"/>
  <c r="R630" i="6"/>
  <c r="R631" i="6"/>
  <c r="R632" i="6"/>
  <c r="R633" i="6"/>
  <c r="R634" i="6"/>
  <c r="R635" i="6"/>
  <c r="R636" i="6"/>
  <c r="R637" i="6"/>
  <c r="R638" i="6"/>
  <c r="R639" i="6"/>
  <c r="R640" i="6"/>
  <c r="R641" i="6"/>
  <c r="R642" i="6"/>
  <c r="R643" i="6"/>
  <c r="R644" i="6"/>
  <c r="R645" i="6"/>
  <c r="R646" i="6"/>
  <c r="R647" i="6"/>
  <c r="R648" i="6"/>
  <c r="R649" i="6"/>
  <c r="R650" i="6"/>
  <c r="R651" i="6"/>
  <c r="R652" i="6"/>
  <c r="R653" i="6"/>
  <c r="R654" i="6"/>
  <c r="R655" i="6"/>
  <c r="R656" i="6"/>
  <c r="R657" i="6"/>
  <c r="R658" i="6"/>
  <c r="R659" i="6"/>
  <c r="R660" i="6"/>
  <c r="R661" i="6"/>
  <c r="R662" i="6"/>
  <c r="R663" i="6"/>
  <c r="R664" i="6"/>
  <c r="R665" i="6"/>
  <c r="R666" i="6"/>
  <c r="AE9" i="14" l="1"/>
  <c r="AC9" i="14"/>
  <c r="AA9" i="14"/>
  <c r="Y9" i="14"/>
  <c r="W9" i="14"/>
  <c r="U9" i="14"/>
  <c r="S9" i="14"/>
  <c r="AV669" i="6" l="1"/>
  <c r="AW669" i="6"/>
  <c r="AX669" i="6"/>
  <c r="AY669" i="6" s="1"/>
  <c r="AL669" i="6"/>
  <c r="AM669" i="6"/>
  <c r="AF669" i="6"/>
  <c r="AG669" i="6"/>
  <c r="AH669" i="6"/>
  <c r="AI669" i="6"/>
  <c r="U669" i="6"/>
  <c r="T669" i="6"/>
  <c r="K669" i="6"/>
  <c r="L669" i="6"/>
  <c r="M669" i="6"/>
  <c r="N669" i="6"/>
  <c r="O669" i="6"/>
  <c r="J669" i="6"/>
  <c r="AV668" i="6"/>
  <c r="AW668" i="6"/>
  <c r="AX668" i="6"/>
  <c r="AY668" i="6"/>
  <c r="AL668" i="6"/>
  <c r="AM668" i="6"/>
  <c r="AF668" i="6"/>
  <c r="AG668" i="6"/>
  <c r="AH668" i="6"/>
  <c r="AI668" i="6" s="1"/>
  <c r="U668" i="6"/>
  <c r="T668" i="6"/>
  <c r="K668" i="6"/>
  <c r="L668" i="6"/>
  <c r="M668" i="6"/>
  <c r="N668" i="6"/>
  <c r="O668" i="6"/>
  <c r="J668" i="6"/>
  <c r="AV667" i="6"/>
  <c r="AW667" i="6"/>
  <c r="AX667" i="6"/>
  <c r="AY667" i="6"/>
  <c r="AL667" i="6"/>
  <c r="AM667" i="6"/>
  <c r="AF667" i="6"/>
  <c r="AG667" i="6"/>
  <c r="AH667" i="6"/>
  <c r="AI667" i="6"/>
  <c r="U667" i="6"/>
  <c r="T667" i="6"/>
  <c r="O667" i="6"/>
  <c r="N667" i="6"/>
  <c r="M667" i="6"/>
  <c r="R667" i="6" s="1"/>
  <c r="S667" i="6" s="1"/>
  <c r="BA667" i="6" s="1"/>
  <c r="L667" i="6"/>
  <c r="K667" i="6"/>
  <c r="J667" i="6"/>
  <c r="Y628" i="6"/>
  <c r="X628" i="6"/>
  <c r="U628" i="6"/>
  <c r="K628" i="6"/>
  <c r="AE625" i="6"/>
  <c r="AD625" i="6"/>
  <c r="AC625" i="6"/>
  <c r="AB625" i="6"/>
  <c r="AA625" i="6"/>
  <c r="AA628" i="6" s="1"/>
  <c r="Z625" i="6"/>
  <c r="Z628" i="6" s="1"/>
  <c r="Y625" i="6"/>
  <c r="X625" i="6"/>
  <c r="U625" i="6"/>
  <c r="T625" i="6"/>
  <c r="O625" i="6"/>
  <c r="N625" i="6"/>
  <c r="M625" i="6"/>
  <c r="M628" i="6" s="1"/>
  <c r="L625" i="6"/>
  <c r="L628" i="6" s="1"/>
  <c r="K625" i="6"/>
  <c r="J625" i="6"/>
  <c r="H625" i="6"/>
  <c r="AE624" i="6"/>
  <c r="AD624" i="6"/>
  <c r="AC624" i="6"/>
  <c r="AB624" i="6"/>
  <c r="AA624" i="6"/>
  <c r="Z624" i="6"/>
  <c r="Y624" i="6"/>
  <c r="X624" i="6"/>
  <c r="U624" i="6"/>
  <c r="T624" i="6"/>
  <c r="O624" i="6"/>
  <c r="N624" i="6"/>
  <c r="M624" i="6"/>
  <c r="L624" i="6"/>
  <c r="K624" i="6"/>
  <c r="J624" i="6"/>
  <c r="H624" i="6"/>
  <c r="AE623" i="6"/>
  <c r="AE628" i="6" s="1"/>
  <c r="AD623" i="6"/>
  <c r="AD628" i="6" s="1"/>
  <c r="AC623" i="6"/>
  <c r="AC628" i="6" s="1"/>
  <c r="AB623" i="6"/>
  <c r="AB628" i="6" s="1"/>
  <c r="AA623" i="6"/>
  <c r="Z623" i="6"/>
  <c r="Y623" i="6"/>
  <c r="X623" i="6"/>
  <c r="U623" i="6"/>
  <c r="T623" i="6"/>
  <c r="T628" i="6" s="1"/>
  <c r="O623" i="6"/>
  <c r="O628" i="6" s="1"/>
  <c r="N623" i="6"/>
  <c r="N628" i="6" s="1"/>
  <c r="M623" i="6"/>
  <c r="L623" i="6"/>
  <c r="K623" i="6"/>
  <c r="J623" i="6"/>
  <c r="J628" i="6" s="1"/>
  <c r="H623" i="6"/>
  <c r="H628" i="6" s="1"/>
  <c r="AJ170" i="9"/>
  <c r="AF170" i="9"/>
  <c r="AF171" i="9"/>
  <c r="AJ183" i="9"/>
  <c r="AJ182" i="9"/>
  <c r="AJ171" i="9"/>
  <c r="W667" i="6" l="1"/>
  <c r="R668" i="6"/>
  <c r="S668" i="6" s="1"/>
  <c r="BA668" i="6" s="1"/>
  <c r="P668" i="6"/>
  <c r="R669" i="6"/>
  <c r="S669" i="6" s="1"/>
  <c r="BA669" i="6" s="1"/>
  <c r="P667" i="6"/>
  <c r="Q667" i="6" s="1"/>
  <c r="AZ667" i="6" s="1"/>
  <c r="P669" i="6"/>
  <c r="Q669" i="6" s="1"/>
  <c r="AZ669" i="6" s="1"/>
  <c r="Q668" i="6"/>
  <c r="AZ668" i="6" s="1"/>
  <c r="V668" i="6"/>
  <c r="W191" i="14"/>
  <c r="U191" i="14"/>
  <c r="S191" i="14"/>
  <c r="S161" i="14"/>
  <c r="U161" i="14"/>
  <c r="W161" i="14"/>
  <c r="Y161" i="14"/>
  <c r="AA161" i="14"/>
  <c r="I140" i="21"/>
  <c r="I144" i="21"/>
  <c r="I136" i="21"/>
  <c r="I104" i="21"/>
  <c r="I150" i="21"/>
  <c r="I135" i="21"/>
  <c r="I141" i="21"/>
  <c r="I146" i="21"/>
  <c r="I132" i="21"/>
  <c r="I109" i="21"/>
  <c r="I103" i="21"/>
  <c r="I137" i="21"/>
  <c r="I151" i="21"/>
  <c r="I111" i="21"/>
  <c r="I145" i="21"/>
  <c r="I142" i="21"/>
  <c r="I120" i="21"/>
  <c r="I106" i="21"/>
  <c r="I108" i="21"/>
  <c r="I134" i="21"/>
  <c r="I121" i="21"/>
  <c r="I119" i="21"/>
  <c r="I114" i="21"/>
  <c r="I118" i="21"/>
  <c r="I110" i="21"/>
  <c r="I113" i="21"/>
  <c r="I148" i="21"/>
  <c r="I152" i="21"/>
  <c r="I147" i="21"/>
  <c r="I115" i="21"/>
  <c r="I139" i="21"/>
  <c r="I116" i="21"/>
  <c r="I149" i="21"/>
  <c r="I101" i="21"/>
  <c r="I143" i="21"/>
  <c r="I105" i="21"/>
  <c r="V204" i="14"/>
  <c r="V27" i="14"/>
  <c r="V195" i="14"/>
  <c r="V200" i="14"/>
  <c r="V23" i="14"/>
  <c r="H9" i="14"/>
  <c r="D9" i="14"/>
  <c r="V18" i="14"/>
  <c r="V11" i="14"/>
  <c r="V12" i="14"/>
  <c r="V26" i="14"/>
  <c r="V205" i="14"/>
  <c r="N9" i="14"/>
  <c r="V29" i="14"/>
  <c r="Y106" i="14"/>
  <c r="AB29" i="14"/>
  <c r="V193" i="14"/>
  <c r="S106" i="14"/>
  <c r="R106" i="14"/>
  <c r="V16" i="14"/>
  <c r="V209" i="14"/>
  <c r="V201" i="14"/>
  <c r="V194" i="14"/>
  <c r="V210" i="14"/>
  <c r="V22" i="14"/>
  <c r="V208" i="14"/>
  <c r="T106" i="14"/>
  <c r="J9" i="14"/>
  <c r="Z29" i="14"/>
  <c r="V196" i="14"/>
  <c r="V206" i="14"/>
  <c r="V13" i="14"/>
  <c r="M29" i="14"/>
  <c r="U106" i="14"/>
  <c r="V106" i="14"/>
  <c r="V14" i="14"/>
  <c r="V19" i="14"/>
  <c r="B9" i="14"/>
  <c r="V199" i="14"/>
  <c r="V203" i="14"/>
  <c r="F9" i="14"/>
  <c r="V198" i="14"/>
  <c r="V24" i="14"/>
  <c r="V28" i="14"/>
  <c r="S224" i="14"/>
  <c r="V211" i="14"/>
  <c r="V21" i="14"/>
  <c r="X106" i="14"/>
  <c r="V17" i="14"/>
  <c r="I13" i="14"/>
  <c r="W106" i="14"/>
  <c r="L9" i="14"/>
  <c r="W669" i="6" l="1"/>
  <c r="W668" i="6"/>
  <c r="AC29" i="14"/>
  <c r="V669" i="6"/>
  <c r="V667" i="6"/>
  <c r="F207" i="21"/>
  <c r="F211" i="21"/>
  <c r="F205" i="21"/>
  <c r="F213" i="21"/>
  <c r="F212" i="21"/>
  <c r="F210" i="21"/>
  <c r="F195" i="21"/>
  <c r="F203" i="21"/>
  <c r="F197" i="21"/>
  <c r="F208" i="21"/>
  <c r="F206" i="21"/>
  <c r="F201" i="21"/>
  <c r="F196" i="21"/>
  <c r="F202" i="21"/>
  <c r="F198" i="21"/>
  <c r="F200" i="21"/>
  <c r="G205" i="14"/>
  <c r="G211" i="14"/>
  <c r="X131" i="14"/>
  <c r="Y115" i="14"/>
  <c r="X146" i="14"/>
  <c r="X136" i="14"/>
  <c r="Y110" i="14"/>
  <c r="G195" i="14"/>
  <c r="G203" i="14"/>
  <c r="Y109" i="14"/>
  <c r="X151" i="14"/>
  <c r="Y121" i="14"/>
  <c r="Y119" i="14"/>
  <c r="G200" i="14"/>
  <c r="G198" i="14"/>
  <c r="Y108" i="14"/>
  <c r="X134" i="14"/>
  <c r="Y116" i="14"/>
  <c r="Y113" i="14"/>
  <c r="G206" i="14"/>
  <c r="G204" i="14"/>
  <c r="X148" i="14"/>
  <c r="X133" i="14"/>
  <c r="X141" i="14"/>
  <c r="X139" i="14"/>
  <c r="G194" i="14"/>
  <c r="G210" i="14"/>
  <c r="X144" i="14"/>
  <c r="X143" i="14"/>
  <c r="Y118" i="14"/>
  <c r="X138" i="14"/>
  <c r="G199" i="14"/>
  <c r="G208" i="14"/>
  <c r="Y101" i="14"/>
  <c r="X140" i="14"/>
  <c r="Y114" i="14"/>
  <c r="Y111" i="14"/>
  <c r="G193" i="14"/>
  <c r="G196" i="14"/>
  <c r="Y120" i="14"/>
  <c r="X150" i="14"/>
  <c r="X145" i="14"/>
  <c r="Y104" i="14"/>
  <c r="G209" i="14"/>
  <c r="G201" i="14"/>
  <c r="Y105" i="14"/>
  <c r="X149" i="14"/>
  <c r="X135" i="14"/>
  <c r="Y103" i="14"/>
  <c r="W201" i="14" l="1"/>
  <c r="W209" i="14"/>
  <c r="W196" i="14"/>
  <c r="W193" i="14"/>
  <c r="W208" i="14"/>
  <c r="W199" i="14"/>
  <c r="W210" i="14"/>
  <c r="W194" i="14"/>
  <c r="W204" i="14"/>
  <c r="W206" i="14"/>
  <c r="W198" i="14"/>
  <c r="W200" i="14"/>
  <c r="W203" i="14"/>
  <c r="W195" i="14"/>
  <c r="W211" i="14"/>
  <c r="W205" i="14"/>
  <c r="U670" i="6"/>
  <c r="U671" i="6" s="1"/>
  <c r="T670" i="6"/>
  <c r="T671" i="6" s="1"/>
  <c r="P672" i="6"/>
  <c r="Q672" i="6" s="1"/>
  <c r="P673" i="6"/>
  <c r="Q673" i="6" s="1"/>
  <c r="P674" i="6"/>
  <c r="Q674" i="6" s="1"/>
  <c r="P675" i="6"/>
  <c r="Q675" i="6" s="1"/>
  <c r="O670" i="6"/>
  <c r="O671" i="6" s="1"/>
  <c r="N670" i="6"/>
  <c r="N671" i="6" s="1"/>
  <c r="M670" i="6"/>
  <c r="M671" i="6" s="1"/>
  <c r="L670" i="6"/>
  <c r="L671" i="6" s="1"/>
  <c r="K670" i="6"/>
  <c r="K671" i="6" s="1"/>
  <c r="V672" i="6" l="1"/>
  <c r="V673" i="6"/>
  <c r="V674" i="6"/>
  <c r="V675" i="6"/>
  <c r="J670" i="6" l="1"/>
  <c r="J671" i="6" s="1"/>
  <c r="AE622" i="6"/>
  <c r="AD622" i="6"/>
  <c r="AC622" i="6"/>
  <c r="AB622" i="6"/>
  <c r="AA622" i="6"/>
  <c r="Z622" i="6"/>
  <c r="Y622" i="6"/>
  <c r="X622" i="6"/>
  <c r="U622" i="6"/>
  <c r="T622" i="6"/>
  <c r="O622" i="6"/>
  <c r="N622" i="6"/>
  <c r="M622" i="6"/>
  <c r="L622" i="6"/>
  <c r="K622" i="6"/>
  <c r="J622" i="6"/>
  <c r="H622" i="6"/>
  <c r="AE621" i="6"/>
  <c r="AD621" i="6"/>
  <c r="AD627" i="6" s="1"/>
  <c r="AC621" i="6"/>
  <c r="AC627" i="6" s="1"/>
  <c r="AB621" i="6"/>
  <c r="AA621" i="6"/>
  <c r="AA627" i="6" s="1"/>
  <c r="Z621" i="6"/>
  <c r="Z627" i="6" s="1"/>
  <c r="Y621" i="6"/>
  <c r="Y627" i="6" s="1"/>
  <c r="X621" i="6"/>
  <c r="X627" i="6" s="1"/>
  <c r="U621" i="6"/>
  <c r="T621" i="6"/>
  <c r="T627" i="6" s="1"/>
  <c r="O621" i="6"/>
  <c r="O627" i="6" s="1"/>
  <c r="N621" i="6"/>
  <c r="M621" i="6"/>
  <c r="M627" i="6" s="1"/>
  <c r="L621" i="6"/>
  <c r="L627" i="6" s="1"/>
  <c r="K621" i="6"/>
  <c r="K627" i="6" s="1"/>
  <c r="J621" i="6"/>
  <c r="J627" i="6" s="1"/>
  <c r="H621" i="6"/>
  <c r="I621" i="6"/>
  <c r="AE620" i="6"/>
  <c r="AE626" i="6" s="1"/>
  <c r="AD620" i="6"/>
  <c r="AD626" i="6" s="1"/>
  <c r="AC620" i="6"/>
  <c r="AC626" i="6" s="1"/>
  <c r="AB620" i="6"/>
  <c r="AB626" i="6" s="1"/>
  <c r="AA620" i="6"/>
  <c r="AA626" i="6" s="1"/>
  <c r="Z620" i="6"/>
  <c r="Z626" i="6" s="1"/>
  <c r="Y620" i="6"/>
  <c r="Y626" i="6" s="1"/>
  <c r="X620" i="6"/>
  <c r="X626" i="6" s="1"/>
  <c r="U620" i="6"/>
  <c r="U626" i="6" s="1"/>
  <c r="T620" i="6"/>
  <c r="T626" i="6" s="1"/>
  <c r="O620" i="6"/>
  <c r="O626" i="6" s="1"/>
  <c r="N620" i="6"/>
  <c r="N626" i="6" s="1"/>
  <c r="M620" i="6"/>
  <c r="M626" i="6" s="1"/>
  <c r="L620" i="6"/>
  <c r="L626" i="6" s="1"/>
  <c r="K620" i="6"/>
  <c r="K626" i="6" s="1"/>
  <c r="J620" i="6"/>
  <c r="J626" i="6" s="1"/>
  <c r="H620" i="6"/>
  <c r="H626" i="6" s="1"/>
  <c r="N627" i="6" l="1"/>
  <c r="AB627" i="6"/>
  <c r="R621" i="6"/>
  <c r="H627" i="6"/>
  <c r="U627" i="6"/>
  <c r="AE627" i="6"/>
  <c r="P670" i="6"/>
  <c r="P671" i="6"/>
  <c r="AV7" i="6"/>
  <c r="AW7" i="6" s="1"/>
  <c r="AX7" i="6"/>
  <c r="AY7" i="6" s="1"/>
  <c r="AV8" i="6"/>
  <c r="AW8" i="6" s="1"/>
  <c r="AX8" i="6"/>
  <c r="AY8" i="6" s="1"/>
  <c r="AV9" i="6"/>
  <c r="AW9" i="6" s="1"/>
  <c r="AX9" i="6"/>
  <c r="AY9" i="6" s="1"/>
  <c r="AV10" i="6"/>
  <c r="AW10" i="6" s="1"/>
  <c r="AX10" i="6"/>
  <c r="AY10" i="6" s="1"/>
  <c r="AV11" i="6"/>
  <c r="AW11" i="6" s="1"/>
  <c r="AX11" i="6"/>
  <c r="AY11" i="6" s="1"/>
  <c r="AV12" i="6"/>
  <c r="AW12" i="6" s="1"/>
  <c r="AX12" i="6"/>
  <c r="AY12" i="6" s="1"/>
  <c r="AV13" i="6"/>
  <c r="AW13" i="6" s="1"/>
  <c r="AX13" i="6"/>
  <c r="AY13" i="6" s="1"/>
  <c r="AV14" i="6"/>
  <c r="AW14" i="6" s="1"/>
  <c r="AX14" i="6"/>
  <c r="AY14" i="6" s="1"/>
  <c r="AV15" i="6"/>
  <c r="AW15" i="6" s="1"/>
  <c r="AX15" i="6"/>
  <c r="AY15" i="6" s="1"/>
  <c r="AV16" i="6"/>
  <c r="AW16" i="6" s="1"/>
  <c r="AX16" i="6"/>
  <c r="AY16" i="6" s="1"/>
  <c r="AV17" i="6"/>
  <c r="AW17" i="6" s="1"/>
  <c r="AX17" i="6"/>
  <c r="AY17" i="6" s="1"/>
  <c r="AV18" i="6"/>
  <c r="AW18" i="6" s="1"/>
  <c r="AX18" i="6"/>
  <c r="AY18" i="6" s="1"/>
  <c r="AV19" i="6"/>
  <c r="AW19" i="6" s="1"/>
  <c r="AX19" i="6"/>
  <c r="AY19" i="6" s="1"/>
  <c r="AV20" i="6"/>
  <c r="AW20" i="6" s="1"/>
  <c r="AX20" i="6"/>
  <c r="AY20" i="6" s="1"/>
  <c r="AV22" i="6"/>
  <c r="AW22" i="6" s="1"/>
  <c r="AX22" i="6"/>
  <c r="AY22" i="6" s="1"/>
  <c r="AV23" i="6"/>
  <c r="AW23" i="6" s="1"/>
  <c r="AX23" i="6"/>
  <c r="AY23" i="6" s="1"/>
  <c r="AV25" i="6"/>
  <c r="AW25" i="6" s="1"/>
  <c r="AX25" i="6"/>
  <c r="AY25" i="6" s="1"/>
  <c r="AV26" i="6"/>
  <c r="AW26" i="6" s="1"/>
  <c r="AX26" i="6"/>
  <c r="AY26" i="6" s="1"/>
  <c r="AV21" i="6"/>
  <c r="AW21" i="6" s="1"/>
  <c r="AX21" i="6"/>
  <c r="AY21" i="6" s="1"/>
  <c r="AV29" i="6"/>
  <c r="AW29" i="6" s="1"/>
  <c r="AX29" i="6"/>
  <c r="AY29" i="6" s="1"/>
  <c r="AV30" i="6"/>
  <c r="AW30" i="6" s="1"/>
  <c r="AX30" i="6"/>
  <c r="AY30" i="6" s="1"/>
  <c r="AV31" i="6"/>
  <c r="AW31" i="6" s="1"/>
  <c r="AX31" i="6"/>
  <c r="AY31" i="6" s="1"/>
  <c r="AV32" i="6"/>
  <c r="AW32" i="6" s="1"/>
  <c r="AX32" i="6"/>
  <c r="AY32" i="6" s="1"/>
  <c r="AV33" i="6"/>
  <c r="AW33" i="6" s="1"/>
  <c r="AX33" i="6"/>
  <c r="AY33" i="6" s="1"/>
  <c r="AV34" i="6"/>
  <c r="AW34" i="6" s="1"/>
  <c r="AX34" i="6"/>
  <c r="AY34" i="6" s="1"/>
  <c r="AV35" i="6"/>
  <c r="AW35" i="6" s="1"/>
  <c r="AX35" i="6"/>
  <c r="AY35" i="6" s="1"/>
  <c r="AV24" i="6"/>
  <c r="AW24" i="6" s="1"/>
  <c r="AX24" i="6"/>
  <c r="AY24" i="6" s="1"/>
  <c r="AV36" i="6"/>
  <c r="AW36" i="6" s="1"/>
  <c r="AX36" i="6"/>
  <c r="AY36" i="6" s="1"/>
  <c r="AV27" i="6"/>
  <c r="AW27" i="6" s="1"/>
  <c r="AX27" i="6"/>
  <c r="AY27" i="6" s="1"/>
  <c r="AV37" i="6"/>
  <c r="AW37" i="6" s="1"/>
  <c r="AX37" i="6"/>
  <c r="AY37" i="6" s="1"/>
  <c r="AV28" i="6"/>
  <c r="AW28" i="6" s="1"/>
  <c r="AX28" i="6"/>
  <c r="AY28" i="6" s="1"/>
  <c r="AV38" i="6"/>
  <c r="AW38" i="6" s="1"/>
  <c r="AX38" i="6"/>
  <c r="AY38" i="6" s="1"/>
  <c r="AV39" i="6"/>
  <c r="AW39" i="6" s="1"/>
  <c r="AX39" i="6"/>
  <c r="AY39" i="6" s="1"/>
  <c r="AV40" i="6"/>
  <c r="AW40" i="6" s="1"/>
  <c r="AX40" i="6"/>
  <c r="AY40" i="6" s="1"/>
  <c r="AV41" i="6"/>
  <c r="AW41" i="6" s="1"/>
  <c r="AX41" i="6"/>
  <c r="AY41" i="6" s="1"/>
  <c r="AV42" i="6"/>
  <c r="AW42" i="6" s="1"/>
  <c r="AX42" i="6"/>
  <c r="AY42" i="6" s="1"/>
  <c r="AV43" i="6"/>
  <c r="AW43" i="6" s="1"/>
  <c r="AX43" i="6"/>
  <c r="AY43" i="6" s="1"/>
  <c r="AV44" i="6"/>
  <c r="AW44" i="6" s="1"/>
  <c r="AX44" i="6"/>
  <c r="AY44" i="6" s="1"/>
  <c r="AV45" i="6"/>
  <c r="AW45" i="6" s="1"/>
  <c r="AX45" i="6"/>
  <c r="AY45" i="6" s="1"/>
  <c r="AV46" i="6"/>
  <c r="AW46" i="6" s="1"/>
  <c r="AX46" i="6"/>
  <c r="AY46" i="6" s="1"/>
  <c r="AV47" i="6"/>
  <c r="AW47" i="6" s="1"/>
  <c r="AX47" i="6"/>
  <c r="AY47" i="6" s="1"/>
  <c r="AV48" i="6"/>
  <c r="AW48" i="6" s="1"/>
  <c r="AX48" i="6"/>
  <c r="AY48" i="6" s="1"/>
  <c r="AV49" i="6"/>
  <c r="AW49" i="6" s="1"/>
  <c r="AX49" i="6"/>
  <c r="AY49" i="6" s="1"/>
  <c r="AV50" i="6"/>
  <c r="AW50" i="6" s="1"/>
  <c r="AX50" i="6"/>
  <c r="AY50" i="6" s="1"/>
  <c r="AV51" i="6"/>
  <c r="AW51" i="6" s="1"/>
  <c r="AX51" i="6"/>
  <c r="AY51" i="6" s="1"/>
  <c r="AV52" i="6"/>
  <c r="AW52" i="6" s="1"/>
  <c r="AX52" i="6"/>
  <c r="AY52" i="6" s="1"/>
  <c r="AV53" i="6"/>
  <c r="AW53" i="6" s="1"/>
  <c r="AX53" i="6"/>
  <c r="AY53" i="6" s="1"/>
  <c r="AV54" i="6"/>
  <c r="AW54" i="6" s="1"/>
  <c r="AX54" i="6"/>
  <c r="AY54" i="6" s="1"/>
  <c r="AV55" i="6"/>
  <c r="AW55" i="6" s="1"/>
  <c r="AX55" i="6"/>
  <c r="AY55" i="6" s="1"/>
  <c r="AV57" i="6"/>
  <c r="AW57" i="6" s="1"/>
  <c r="AX57" i="6"/>
  <c r="AY57" i="6" s="1"/>
  <c r="AV58" i="6"/>
  <c r="AW58" i="6" s="1"/>
  <c r="AX58" i="6"/>
  <c r="AY58" i="6" s="1"/>
  <c r="AV59" i="6"/>
  <c r="AW59" i="6" s="1"/>
  <c r="AX59" i="6"/>
  <c r="AY59" i="6" s="1"/>
  <c r="AV56" i="6"/>
  <c r="AW56" i="6" s="1"/>
  <c r="AX56" i="6"/>
  <c r="AY56" i="6" s="1"/>
  <c r="AV60" i="6"/>
  <c r="AW60" i="6" s="1"/>
  <c r="AX60" i="6"/>
  <c r="AY60" i="6" s="1"/>
  <c r="AV61" i="6"/>
  <c r="AW61" i="6" s="1"/>
  <c r="AX61" i="6"/>
  <c r="AY61" i="6" s="1"/>
  <c r="AV62" i="6"/>
  <c r="AW62" i="6" s="1"/>
  <c r="AX62" i="6"/>
  <c r="AY62" i="6" s="1"/>
  <c r="AV63" i="6"/>
  <c r="AW63" i="6" s="1"/>
  <c r="AX63" i="6"/>
  <c r="AY63" i="6" s="1"/>
  <c r="AV65" i="6"/>
  <c r="AW65" i="6" s="1"/>
  <c r="AX65" i="6"/>
  <c r="AY65" i="6" s="1"/>
  <c r="AV66" i="6"/>
  <c r="AW66" i="6" s="1"/>
  <c r="AX66" i="6"/>
  <c r="AY66" i="6" s="1"/>
  <c r="AV67" i="6"/>
  <c r="AW67" i="6" s="1"/>
  <c r="AX67" i="6"/>
  <c r="AY67" i="6" s="1"/>
  <c r="AV68" i="6"/>
  <c r="AW68" i="6" s="1"/>
  <c r="AX68" i="6"/>
  <c r="AY68" i="6" s="1"/>
  <c r="AV64" i="6"/>
  <c r="AW64" i="6" s="1"/>
  <c r="AX64" i="6"/>
  <c r="AY64" i="6" s="1"/>
  <c r="AV69" i="6"/>
  <c r="AW69" i="6" s="1"/>
  <c r="AX69" i="6"/>
  <c r="AY69" i="6" s="1"/>
  <c r="AV70" i="6"/>
  <c r="AW70" i="6" s="1"/>
  <c r="AX70" i="6"/>
  <c r="AY70" i="6" s="1"/>
  <c r="AV71" i="6"/>
  <c r="AW71" i="6" s="1"/>
  <c r="AX71" i="6"/>
  <c r="AY71" i="6" s="1"/>
  <c r="AV72" i="6"/>
  <c r="AW72" i="6" s="1"/>
  <c r="AX72" i="6"/>
  <c r="AY72" i="6" s="1"/>
  <c r="AV73" i="6"/>
  <c r="AW73" i="6" s="1"/>
  <c r="AX73" i="6"/>
  <c r="AY73" i="6" s="1"/>
  <c r="AV74" i="6"/>
  <c r="AW74" i="6" s="1"/>
  <c r="AX74" i="6"/>
  <c r="AY74" i="6" s="1"/>
  <c r="AV75" i="6"/>
  <c r="AW75" i="6" s="1"/>
  <c r="AX75" i="6"/>
  <c r="AY75" i="6" s="1"/>
  <c r="AV76" i="6"/>
  <c r="AW76" i="6" s="1"/>
  <c r="AX76" i="6"/>
  <c r="AY76" i="6" s="1"/>
  <c r="AV77" i="6"/>
  <c r="AW77" i="6" s="1"/>
  <c r="AX77" i="6"/>
  <c r="AY77" i="6" s="1"/>
  <c r="AV78" i="6"/>
  <c r="AW78" i="6" s="1"/>
  <c r="AX78" i="6"/>
  <c r="AY78" i="6" s="1"/>
  <c r="AV79" i="6"/>
  <c r="AW79" i="6" s="1"/>
  <c r="AX79" i="6"/>
  <c r="AY79" i="6" s="1"/>
  <c r="AV81" i="6"/>
  <c r="AW81" i="6" s="1"/>
  <c r="AX81" i="6"/>
  <c r="AY81" i="6" s="1"/>
  <c r="AV80" i="6"/>
  <c r="AW80" i="6" s="1"/>
  <c r="AX80" i="6"/>
  <c r="AY80" i="6" s="1"/>
  <c r="AV82" i="6"/>
  <c r="AW82" i="6" s="1"/>
  <c r="AX82" i="6"/>
  <c r="AY82" i="6" s="1"/>
  <c r="AV83" i="6"/>
  <c r="AW83" i="6" s="1"/>
  <c r="AX83" i="6"/>
  <c r="AY83" i="6" s="1"/>
  <c r="AV84" i="6"/>
  <c r="AW84" i="6" s="1"/>
  <c r="AX84" i="6"/>
  <c r="AY84" i="6" s="1"/>
  <c r="AV85" i="6"/>
  <c r="AW85" i="6" s="1"/>
  <c r="AX85" i="6"/>
  <c r="AY85" i="6" s="1"/>
  <c r="AV86" i="6"/>
  <c r="AW86" i="6" s="1"/>
  <c r="AX86" i="6"/>
  <c r="AY86" i="6" s="1"/>
  <c r="AV87" i="6"/>
  <c r="AW87" i="6" s="1"/>
  <c r="AX87" i="6"/>
  <c r="AY87" i="6" s="1"/>
  <c r="AV88" i="6"/>
  <c r="AW88" i="6" s="1"/>
  <c r="AX88" i="6"/>
  <c r="AY88" i="6" s="1"/>
  <c r="AV89" i="6"/>
  <c r="AW89" i="6" s="1"/>
  <c r="AX89" i="6"/>
  <c r="AY89" i="6" s="1"/>
  <c r="AV90" i="6"/>
  <c r="AW90" i="6" s="1"/>
  <c r="AX90" i="6"/>
  <c r="AY90" i="6" s="1"/>
  <c r="AV91" i="6"/>
  <c r="AW91" i="6" s="1"/>
  <c r="AX91" i="6"/>
  <c r="AY91" i="6" s="1"/>
  <c r="AV92" i="6"/>
  <c r="AW92" i="6" s="1"/>
  <c r="AX92" i="6"/>
  <c r="AY92" i="6" s="1"/>
  <c r="AV93" i="6"/>
  <c r="AW93" i="6" s="1"/>
  <c r="AX93" i="6"/>
  <c r="AY93" i="6" s="1"/>
  <c r="AV100" i="6"/>
  <c r="AW100" i="6" s="1"/>
  <c r="AX100" i="6"/>
  <c r="AY100" i="6" s="1"/>
  <c r="AV101" i="6"/>
  <c r="AW101" i="6" s="1"/>
  <c r="AX101" i="6"/>
  <c r="AY101" i="6" s="1"/>
  <c r="AV102" i="6"/>
  <c r="AW102" i="6" s="1"/>
  <c r="AX102" i="6"/>
  <c r="AY102" i="6" s="1"/>
  <c r="AV103" i="6"/>
  <c r="AW103" i="6" s="1"/>
  <c r="AX103" i="6"/>
  <c r="AY103" i="6" s="1"/>
  <c r="AV104" i="6"/>
  <c r="AW104" i="6" s="1"/>
  <c r="AX104" i="6"/>
  <c r="AY104" i="6" s="1"/>
  <c r="AV97" i="6"/>
  <c r="AW97" i="6" s="1"/>
  <c r="AX97" i="6"/>
  <c r="AY97" i="6" s="1"/>
  <c r="AV105" i="6"/>
  <c r="AW105" i="6" s="1"/>
  <c r="AX105" i="6"/>
  <c r="AY105" i="6" s="1"/>
  <c r="AV98" i="6"/>
  <c r="AW98" i="6" s="1"/>
  <c r="AX98" i="6"/>
  <c r="AY98" i="6" s="1"/>
  <c r="AV106" i="6"/>
  <c r="AW106" i="6" s="1"/>
  <c r="AX106" i="6"/>
  <c r="AY106" i="6" s="1"/>
  <c r="AV107" i="6"/>
  <c r="AW107" i="6" s="1"/>
  <c r="AX107" i="6"/>
  <c r="AY107" i="6" s="1"/>
  <c r="AV108" i="6"/>
  <c r="AW108" i="6" s="1"/>
  <c r="AX108" i="6"/>
  <c r="AY108" i="6" s="1"/>
  <c r="AV109" i="6"/>
  <c r="AW109" i="6" s="1"/>
  <c r="AX109" i="6"/>
  <c r="AY109" i="6" s="1"/>
  <c r="AV110" i="6"/>
  <c r="AW110" i="6" s="1"/>
  <c r="AX110" i="6"/>
  <c r="AY110" i="6" s="1"/>
  <c r="AV111" i="6"/>
  <c r="AW111" i="6" s="1"/>
  <c r="AX111" i="6"/>
  <c r="AY111" i="6" s="1"/>
  <c r="AV112" i="6"/>
  <c r="AW112" i="6" s="1"/>
  <c r="AX112" i="6"/>
  <c r="AY112" i="6" s="1"/>
  <c r="AV113" i="6"/>
  <c r="AW113" i="6" s="1"/>
  <c r="AX113" i="6"/>
  <c r="AY113" i="6" s="1"/>
  <c r="AV114" i="6"/>
  <c r="AW114" i="6" s="1"/>
  <c r="AX114" i="6"/>
  <c r="AY114" i="6" s="1"/>
  <c r="AV115" i="6"/>
  <c r="AW115" i="6" s="1"/>
  <c r="AX115" i="6"/>
  <c r="AY115" i="6" s="1"/>
  <c r="AV116" i="6"/>
  <c r="AW116" i="6" s="1"/>
  <c r="AX116" i="6"/>
  <c r="AY116" i="6" s="1"/>
  <c r="AV117" i="6"/>
  <c r="AW117" i="6" s="1"/>
  <c r="AX117" i="6"/>
  <c r="AY117" i="6" s="1"/>
  <c r="AV118" i="6"/>
  <c r="AW118" i="6" s="1"/>
  <c r="AX118" i="6"/>
  <c r="AY118" i="6" s="1"/>
  <c r="AV119" i="6"/>
  <c r="AW119" i="6" s="1"/>
  <c r="AX119" i="6"/>
  <c r="AY119" i="6" s="1"/>
  <c r="AV120" i="6"/>
  <c r="AW120" i="6" s="1"/>
  <c r="AX120" i="6"/>
  <c r="AY120" i="6" s="1"/>
  <c r="AV121" i="6"/>
  <c r="AW121" i="6" s="1"/>
  <c r="AX121" i="6"/>
  <c r="AY121" i="6" s="1"/>
  <c r="AV122" i="6"/>
  <c r="AW122" i="6" s="1"/>
  <c r="AX122" i="6"/>
  <c r="AY122" i="6" s="1"/>
  <c r="AV123" i="6"/>
  <c r="AW123" i="6" s="1"/>
  <c r="AX123" i="6"/>
  <c r="AY123" i="6" s="1"/>
  <c r="AV124" i="6"/>
  <c r="AW124" i="6" s="1"/>
  <c r="AX124" i="6"/>
  <c r="AY124" i="6" s="1"/>
  <c r="AV125" i="6"/>
  <c r="AW125" i="6" s="1"/>
  <c r="AX125" i="6"/>
  <c r="AY125" i="6" s="1"/>
  <c r="AV126" i="6"/>
  <c r="AW126" i="6" s="1"/>
  <c r="AX126" i="6"/>
  <c r="AY126" i="6" s="1"/>
  <c r="AV127" i="6"/>
  <c r="AW127" i="6" s="1"/>
  <c r="AX127" i="6"/>
  <c r="AY127" i="6" s="1"/>
  <c r="AV128" i="6"/>
  <c r="AW128" i="6" s="1"/>
  <c r="AX128" i="6"/>
  <c r="AY128" i="6" s="1"/>
  <c r="AV129" i="6"/>
  <c r="AW129" i="6" s="1"/>
  <c r="AX129" i="6"/>
  <c r="AY129" i="6" s="1"/>
  <c r="AV130" i="6"/>
  <c r="AW130" i="6" s="1"/>
  <c r="AX130" i="6"/>
  <c r="AY130" i="6" s="1"/>
  <c r="AV131" i="6"/>
  <c r="AW131" i="6" s="1"/>
  <c r="AX131" i="6"/>
  <c r="AY131" i="6" s="1"/>
  <c r="AV132" i="6"/>
  <c r="AW132" i="6" s="1"/>
  <c r="AX132" i="6"/>
  <c r="AY132" i="6" s="1"/>
  <c r="AV133" i="6"/>
  <c r="AW133" i="6" s="1"/>
  <c r="AX133" i="6"/>
  <c r="AY133" i="6" s="1"/>
  <c r="AV135" i="6"/>
  <c r="AW135" i="6" s="1"/>
  <c r="AX135" i="6"/>
  <c r="AY135" i="6" s="1"/>
  <c r="AV136" i="6"/>
  <c r="AW136" i="6" s="1"/>
  <c r="AX136" i="6"/>
  <c r="AY136" i="6" s="1"/>
  <c r="AV137" i="6"/>
  <c r="AW137" i="6" s="1"/>
  <c r="AX137" i="6"/>
  <c r="AY137" i="6" s="1"/>
  <c r="AV138" i="6"/>
  <c r="AW138" i="6" s="1"/>
  <c r="AX138" i="6"/>
  <c r="AY138" i="6" s="1"/>
  <c r="AV134" i="6"/>
  <c r="AW134" i="6" s="1"/>
  <c r="AX134" i="6"/>
  <c r="AY134" i="6" s="1"/>
  <c r="AV140" i="6"/>
  <c r="AW140" i="6" s="1"/>
  <c r="AX140" i="6"/>
  <c r="AY140" i="6" s="1"/>
  <c r="AV141" i="6"/>
  <c r="AW141" i="6" s="1"/>
  <c r="AX141" i="6"/>
  <c r="AY141" i="6" s="1"/>
  <c r="AV142" i="6"/>
  <c r="AW142" i="6" s="1"/>
  <c r="AX142" i="6"/>
  <c r="AY142" i="6" s="1"/>
  <c r="AV144" i="6"/>
  <c r="AW144" i="6" s="1"/>
  <c r="AX144" i="6"/>
  <c r="AY144" i="6" s="1"/>
  <c r="AV145" i="6"/>
  <c r="AW145" i="6" s="1"/>
  <c r="AX145" i="6"/>
  <c r="AY145" i="6" s="1"/>
  <c r="AV147" i="6"/>
  <c r="AW147" i="6" s="1"/>
  <c r="AX147" i="6"/>
  <c r="AY147" i="6" s="1"/>
  <c r="AV148" i="6"/>
  <c r="AW148" i="6" s="1"/>
  <c r="AX148" i="6"/>
  <c r="AY148" i="6" s="1"/>
  <c r="AV149" i="6"/>
  <c r="AW149" i="6" s="1"/>
  <c r="AX149" i="6"/>
  <c r="AY149" i="6" s="1"/>
  <c r="AV151" i="6"/>
  <c r="AW151" i="6" s="1"/>
  <c r="AX151" i="6"/>
  <c r="AY151" i="6" s="1"/>
  <c r="AV143" i="6"/>
  <c r="AW143" i="6" s="1"/>
  <c r="AX143" i="6"/>
  <c r="AY143" i="6" s="1"/>
  <c r="AV152" i="6"/>
  <c r="AW152" i="6" s="1"/>
  <c r="AX152" i="6"/>
  <c r="AY152" i="6" s="1"/>
  <c r="AV146" i="6"/>
  <c r="AW146" i="6" s="1"/>
  <c r="AX146" i="6"/>
  <c r="AY146" i="6" s="1"/>
  <c r="AV150" i="6"/>
  <c r="AW150" i="6" s="1"/>
  <c r="AX150" i="6"/>
  <c r="AY150" i="6" s="1"/>
  <c r="AV153" i="6"/>
  <c r="AW153" i="6" s="1"/>
  <c r="AX153" i="6"/>
  <c r="AY153" i="6" s="1"/>
  <c r="AV154" i="6"/>
  <c r="AW154" i="6" s="1"/>
  <c r="AX154" i="6"/>
  <c r="AY154" i="6" s="1"/>
  <c r="AV139" i="6"/>
  <c r="AW139" i="6" s="1"/>
  <c r="AX139" i="6"/>
  <c r="AY139" i="6" s="1"/>
  <c r="AV155" i="6"/>
  <c r="AW155" i="6" s="1"/>
  <c r="AX155" i="6"/>
  <c r="AY155" i="6" s="1"/>
  <c r="AV156" i="6"/>
  <c r="AW156" i="6" s="1"/>
  <c r="AX156" i="6"/>
  <c r="AY156" i="6" s="1"/>
  <c r="AV157" i="6"/>
  <c r="AW157" i="6" s="1"/>
  <c r="AX157" i="6"/>
  <c r="AY157" i="6" s="1"/>
  <c r="AV158" i="6"/>
  <c r="AW158" i="6" s="1"/>
  <c r="AX158" i="6"/>
  <c r="AY158" i="6" s="1"/>
  <c r="AV159" i="6"/>
  <c r="AW159" i="6" s="1"/>
  <c r="AX159" i="6"/>
  <c r="AY159" i="6" s="1"/>
  <c r="AV160" i="6"/>
  <c r="AW160" i="6" s="1"/>
  <c r="AX160" i="6"/>
  <c r="AY160" i="6" s="1"/>
  <c r="AV161" i="6"/>
  <c r="AW161" i="6" s="1"/>
  <c r="AX161" i="6"/>
  <c r="AY161" i="6" s="1"/>
  <c r="AV162" i="6"/>
  <c r="AW162" i="6" s="1"/>
  <c r="AX162" i="6"/>
  <c r="AY162" i="6" s="1"/>
  <c r="AV163" i="6"/>
  <c r="AW163" i="6" s="1"/>
  <c r="AX163" i="6"/>
  <c r="AY163" i="6" s="1"/>
  <c r="AV164" i="6"/>
  <c r="AW164" i="6" s="1"/>
  <c r="AX164" i="6"/>
  <c r="AY164" i="6" s="1"/>
  <c r="AV165" i="6"/>
  <c r="AW165" i="6" s="1"/>
  <c r="AX165" i="6"/>
  <c r="AY165" i="6" s="1"/>
  <c r="AV166" i="6"/>
  <c r="AW166" i="6" s="1"/>
  <c r="AX166" i="6"/>
  <c r="AY166" i="6" s="1"/>
  <c r="AV167" i="6"/>
  <c r="AW167" i="6" s="1"/>
  <c r="AX167" i="6"/>
  <c r="AY167" i="6" s="1"/>
  <c r="AV168" i="6"/>
  <c r="AW168" i="6" s="1"/>
  <c r="AX168" i="6"/>
  <c r="AY168" i="6" s="1"/>
  <c r="AV169" i="6"/>
  <c r="AW169" i="6" s="1"/>
  <c r="AX169" i="6"/>
  <c r="AY169" i="6" s="1"/>
  <c r="AV170" i="6"/>
  <c r="AW170" i="6" s="1"/>
  <c r="AX170" i="6"/>
  <c r="AY170" i="6" s="1"/>
  <c r="AV171" i="6"/>
  <c r="AW171" i="6" s="1"/>
  <c r="AX171" i="6"/>
  <c r="AY171" i="6" s="1"/>
  <c r="AV172" i="6"/>
  <c r="AW172" i="6" s="1"/>
  <c r="AX172" i="6"/>
  <c r="AY172" i="6" s="1"/>
  <c r="AV173" i="6"/>
  <c r="AW173" i="6" s="1"/>
  <c r="AX173" i="6"/>
  <c r="AY173" i="6" s="1"/>
  <c r="AV174" i="6"/>
  <c r="AW174" i="6" s="1"/>
  <c r="AX174" i="6"/>
  <c r="AY174" i="6" s="1"/>
  <c r="AV175" i="6"/>
  <c r="AW175" i="6" s="1"/>
  <c r="AX175" i="6"/>
  <c r="AY175" i="6" s="1"/>
  <c r="AV176" i="6"/>
  <c r="AW176" i="6" s="1"/>
  <c r="AX176" i="6"/>
  <c r="AY176" i="6" s="1"/>
  <c r="AV177" i="6"/>
  <c r="AW177" i="6" s="1"/>
  <c r="AX177" i="6"/>
  <c r="AY177" i="6" s="1"/>
  <c r="AV178" i="6"/>
  <c r="AW178" i="6" s="1"/>
  <c r="AX178" i="6"/>
  <c r="AY178" i="6" s="1"/>
  <c r="AV179" i="6"/>
  <c r="AW179" i="6" s="1"/>
  <c r="AX179" i="6"/>
  <c r="AY179" i="6" s="1"/>
  <c r="AV180" i="6"/>
  <c r="AW180" i="6" s="1"/>
  <c r="AX180" i="6"/>
  <c r="AY180" i="6" s="1"/>
  <c r="AV181" i="6"/>
  <c r="AW181" i="6" s="1"/>
  <c r="AX181" i="6"/>
  <c r="AY181" i="6" s="1"/>
  <c r="AV182" i="6"/>
  <c r="AW182" i="6" s="1"/>
  <c r="AX182" i="6"/>
  <c r="AY182" i="6" s="1"/>
  <c r="AV183" i="6"/>
  <c r="AW183" i="6" s="1"/>
  <c r="AX183" i="6"/>
  <c r="AY183" i="6" s="1"/>
  <c r="AV184" i="6"/>
  <c r="AW184" i="6" s="1"/>
  <c r="AX184" i="6"/>
  <c r="AY184" i="6" s="1"/>
  <c r="AV185" i="6"/>
  <c r="AW185" i="6" s="1"/>
  <c r="AX185" i="6"/>
  <c r="AY185" i="6" s="1"/>
  <c r="AV186" i="6"/>
  <c r="AW186" i="6" s="1"/>
  <c r="AX186" i="6"/>
  <c r="AY186" i="6" s="1"/>
  <c r="AV187" i="6"/>
  <c r="AW187" i="6" s="1"/>
  <c r="AX187" i="6"/>
  <c r="AY187" i="6" s="1"/>
  <c r="AV188" i="6"/>
  <c r="AW188" i="6" s="1"/>
  <c r="AX188" i="6"/>
  <c r="AY188" i="6" s="1"/>
  <c r="AV189" i="6"/>
  <c r="AW189" i="6" s="1"/>
  <c r="AX189" i="6"/>
  <c r="AY189" i="6" s="1"/>
  <c r="AV190" i="6"/>
  <c r="AW190" i="6" s="1"/>
  <c r="AX190" i="6"/>
  <c r="AY190" i="6" s="1"/>
  <c r="AV191" i="6"/>
  <c r="AW191" i="6" s="1"/>
  <c r="AX191" i="6"/>
  <c r="AY191" i="6" s="1"/>
  <c r="AV192" i="6"/>
  <c r="AW192" i="6" s="1"/>
  <c r="AX192" i="6"/>
  <c r="AY192" i="6" s="1"/>
  <c r="AV194" i="6"/>
  <c r="AW194" i="6" s="1"/>
  <c r="AX194" i="6"/>
  <c r="AY194" i="6" s="1"/>
  <c r="AV195" i="6"/>
  <c r="AW195" i="6" s="1"/>
  <c r="AX195" i="6"/>
  <c r="AY195" i="6" s="1"/>
  <c r="AV196" i="6"/>
  <c r="AW196" i="6" s="1"/>
  <c r="AX196" i="6"/>
  <c r="AY196" i="6" s="1"/>
  <c r="AV197" i="6"/>
  <c r="AW197" i="6" s="1"/>
  <c r="AX197" i="6"/>
  <c r="AY197" i="6" s="1"/>
  <c r="AV198" i="6"/>
  <c r="AW198" i="6" s="1"/>
  <c r="AX198" i="6"/>
  <c r="AY198" i="6" s="1"/>
  <c r="AV199" i="6"/>
  <c r="AW199" i="6" s="1"/>
  <c r="AX199" i="6"/>
  <c r="AY199" i="6" s="1"/>
  <c r="AV200" i="6"/>
  <c r="AW200" i="6" s="1"/>
  <c r="AX200" i="6"/>
  <c r="AY200" i="6" s="1"/>
  <c r="AV201" i="6"/>
  <c r="AW201" i="6" s="1"/>
  <c r="AX201" i="6"/>
  <c r="AY201" i="6" s="1"/>
  <c r="AV193" i="6"/>
  <c r="AW193" i="6" s="1"/>
  <c r="AX193" i="6"/>
  <c r="AY193" i="6" s="1"/>
  <c r="AV202" i="6"/>
  <c r="AW202" i="6" s="1"/>
  <c r="AX202" i="6"/>
  <c r="AY202" i="6" s="1"/>
  <c r="AV203" i="6"/>
  <c r="AW203" i="6" s="1"/>
  <c r="AX203" i="6"/>
  <c r="AY203" i="6" s="1"/>
  <c r="AV204" i="6"/>
  <c r="AW204" i="6" s="1"/>
  <c r="AX204" i="6"/>
  <c r="AV205" i="6"/>
  <c r="AW205" i="6" s="1"/>
  <c r="AX205" i="6"/>
  <c r="AY205" i="6" s="1"/>
  <c r="AV206" i="6"/>
  <c r="AW206" i="6" s="1"/>
  <c r="AX206" i="6"/>
  <c r="AY206" i="6" s="1"/>
  <c r="AV207" i="6"/>
  <c r="AW207" i="6" s="1"/>
  <c r="AX207" i="6"/>
  <c r="AY207" i="6" s="1"/>
  <c r="AV208" i="6"/>
  <c r="AW208" i="6" s="1"/>
  <c r="AX208" i="6"/>
  <c r="AY208" i="6" s="1"/>
  <c r="AV209" i="6"/>
  <c r="AW209" i="6" s="1"/>
  <c r="AX209" i="6"/>
  <c r="AY209" i="6" s="1"/>
  <c r="AV210" i="6"/>
  <c r="AW210" i="6" s="1"/>
  <c r="AX210" i="6"/>
  <c r="AY210" i="6" s="1"/>
  <c r="AV211" i="6"/>
  <c r="AW211" i="6" s="1"/>
  <c r="AX211" i="6"/>
  <c r="AY211" i="6" s="1"/>
  <c r="AV212" i="6"/>
  <c r="AW212" i="6" s="1"/>
  <c r="AX212" i="6"/>
  <c r="AY212" i="6" s="1"/>
  <c r="AV213" i="6"/>
  <c r="AW213" i="6" s="1"/>
  <c r="AX213" i="6"/>
  <c r="AY213" i="6" s="1"/>
  <c r="AV214" i="6"/>
  <c r="AW214" i="6" s="1"/>
  <c r="AX214" i="6"/>
  <c r="AY214" i="6" s="1"/>
  <c r="AV215" i="6"/>
  <c r="AW215" i="6" s="1"/>
  <c r="AX215" i="6"/>
  <c r="AY215" i="6" s="1"/>
  <c r="AV216" i="6"/>
  <c r="AW216" i="6" s="1"/>
  <c r="AX216" i="6"/>
  <c r="AY216" i="6" s="1"/>
  <c r="AV217" i="6"/>
  <c r="AW217" i="6" s="1"/>
  <c r="AX217" i="6"/>
  <c r="AY217" i="6" s="1"/>
  <c r="AV218" i="6"/>
  <c r="AW218" i="6" s="1"/>
  <c r="AX218" i="6"/>
  <c r="AY218" i="6" s="1"/>
  <c r="AV219" i="6"/>
  <c r="AW219" i="6" s="1"/>
  <c r="AX219" i="6"/>
  <c r="AY219" i="6" s="1"/>
  <c r="AV220" i="6"/>
  <c r="AW220" i="6" s="1"/>
  <c r="AX220" i="6"/>
  <c r="AY220" i="6" s="1"/>
  <c r="AV221" i="6"/>
  <c r="AW221" i="6" s="1"/>
  <c r="AX221" i="6"/>
  <c r="AY221" i="6" s="1"/>
  <c r="AV222" i="6"/>
  <c r="AW222" i="6" s="1"/>
  <c r="AX222" i="6"/>
  <c r="AY222" i="6" s="1"/>
  <c r="AV223" i="6"/>
  <c r="AW223" i="6" s="1"/>
  <c r="AX223" i="6"/>
  <c r="AY223" i="6" s="1"/>
  <c r="AV224" i="6"/>
  <c r="AW224" i="6" s="1"/>
  <c r="AX224" i="6"/>
  <c r="AY224" i="6" s="1"/>
  <c r="AV225" i="6"/>
  <c r="AW225" i="6" s="1"/>
  <c r="AX225" i="6"/>
  <c r="AY225" i="6" s="1"/>
  <c r="AV226" i="6"/>
  <c r="AW226" i="6" s="1"/>
  <c r="AX226" i="6"/>
  <c r="AY226" i="6" s="1"/>
  <c r="AV227" i="6"/>
  <c r="AW227" i="6" s="1"/>
  <c r="AX227" i="6"/>
  <c r="AY227" i="6" s="1"/>
  <c r="AV228" i="6"/>
  <c r="AW228" i="6" s="1"/>
  <c r="AX228" i="6"/>
  <c r="AY228" i="6" s="1"/>
  <c r="AV229" i="6"/>
  <c r="AW229" i="6" s="1"/>
  <c r="AX229" i="6"/>
  <c r="AY229" i="6" s="1"/>
  <c r="AV231" i="6"/>
  <c r="AW231" i="6" s="1"/>
  <c r="AX231" i="6"/>
  <c r="AY231" i="6" s="1"/>
  <c r="AV232" i="6"/>
  <c r="AW232" i="6" s="1"/>
  <c r="AX232" i="6"/>
  <c r="AY232" i="6" s="1"/>
  <c r="AV233" i="6"/>
  <c r="AW233" i="6" s="1"/>
  <c r="AX233" i="6"/>
  <c r="AY233" i="6" s="1"/>
  <c r="AV234" i="6"/>
  <c r="AW234" i="6" s="1"/>
  <c r="AX234" i="6"/>
  <c r="AY234" i="6" s="1"/>
  <c r="AV235" i="6"/>
  <c r="AW235" i="6" s="1"/>
  <c r="AX235" i="6"/>
  <c r="AY235" i="6" s="1"/>
  <c r="AV230" i="6"/>
  <c r="AW230" i="6" s="1"/>
  <c r="AX230" i="6"/>
  <c r="AY230" i="6" s="1"/>
  <c r="AV236" i="6"/>
  <c r="AW236" i="6" s="1"/>
  <c r="AX236" i="6"/>
  <c r="AY236" i="6" s="1"/>
  <c r="AV238" i="6"/>
  <c r="AW238" i="6" s="1"/>
  <c r="AX238" i="6"/>
  <c r="AY238" i="6" s="1"/>
  <c r="AV237" i="6"/>
  <c r="AW237" i="6" s="1"/>
  <c r="AX237" i="6"/>
  <c r="AY237" i="6" s="1"/>
  <c r="AV239" i="6"/>
  <c r="AW239" i="6" s="1"/>
  <c r="AX239" i="6"/>
  <c r="AY239" i="6" s="1"/>
  <c r="AV240" i="6"/>
  <c r="AW240" i="6" s="1"/>
  <c r="AX240" i="6"/>
  <c r="AY240" i="6" s="1"/>
  <c r="AV241" i="6"/>
  <c r="AW241" i="6" s="1"/>
  <c r="AX241" i="6"/>
  <c r="AY241" i="6" s="1"/>
  <c r="AV242" i="6"/>
  <c r="AW242" i="6" s="1"/>
  <c r="AX242" i="6"/>
  <c r="AY242" i="6" s="1"/>
  <c r="AV243" i="6"/>
  <c r="AW243" i="6" s="1"/>
  <c r="AX243" i="6"/>
  <c r="AY243" i="6" s="1"/>
  <c r="AV244" i="6"/>
  <c r="AW244" i="6" s="1"/>
  <c r="AX244" i="6"/>
  <c r="AY244" i="6" s="1"/>
  <c r="AV245" i="6"/>
  <c r="AW245" i="6" s="1"/>
  <c r="AX245" i="6"/>
  <c r="AY245" i="6" s="1"/>
  <c r="AV246" i="6"/>
  <c r="AW246" i="6" s="1"/>
  <c r="AX246" i="6"/>
  <c r="AY246" i="6" s="1"/>
  <c r="AV247" i="6"/>
  <c r="AW247" i="6" s="1"/>
  <c r="AX247" i="6"/>
  <c r="AY247" i="6" s="1"/>
  <c r="AV249" i="6"/>
  <c r="AW249" i="6" s="1"/>
  <c r="AX249" i="6"/>
  <c r="AY249" i="6" s="1"/>
  <c r="AV251" i="6"/>
  <c r="AW251" i="6" s="1"/>
  <c r="AX251" i="6"/>
  <c r="AY251" i="6" s="1"/>
  <c r="AV252" i="6"/>
  <c r="AW252" i="6" s="1"/>
  <c r="AX252" i="6"/>
  <c r="AY252" i="6" s="1"/>
  <c r="AV253" i="6"/>
  <c r="AW253" i="6" s="1"/>
  <c r="AX253" i="6"/>
  <c r="AY253" i="6" s="1"/>
  <c r="AV254" i="6"/>
  <c r="AW254" i="6" s="1"/>
  <c r="AX254" i="6"/>
  <c r="AY254" i="6" s="1"/>
  <c r="AV255" i="6"/>
  <c r="AW255" i="6" s="1"/>
  <c r="AX255" i="6"/>
  <c r="AY255" i="6" s="1"/>
  <c r="AV248" i="6"/>
  <c r="AW248" i="6" s="1"/>
  <c r="AX248" i="6"/>
  <c r="AY248" i="6" s="1"/>
  <c r="AV256" i="6"/>
  <c r="AW256" i="6" s="1"/>
  <c r="AX256" i="6"/>
  <c r="AY256" i="6" s="1"/>
  <c r="AV257" i="6"/>
  <c r="AW257" i="6" s="1"/>
  <c r="AX257" i="6"/>
  <c r="AY257" i="6" s="1"/>
  <c r="AV258" i="6"/>
  <c r="AW258" i="6" s="1"/>
  <c r="AX258" i="6"/>
  <c r="AY258" i="6" s="1"/>
  <c r="AV250" i="6"/>
  <c r="AW250" i="6" s="1"/>
  <c r="AX250" i="6"/>
  <c r="AY250" i="6" s="1"/>
  <c r="AV259" i="6"/>
  <c r="AW259" i="6" s="1"/>
  <c r="AX259" i="6"/>
  <c r="AY259" i="6" s="1"/>
  <c r="AV260" i="6"/>
  <c r="AW260" i="6" s="1"/>
  <c r="AX260" i="6"/>
  <c r="AY260" i="6" s="1"/>
  <c r="AV261" i="6"/>
  <c r="AW261" i="6" s="1"/>
  <c r="AX261" i="6"/>
  <c r="AY261" i="6" s="1"/>
  <c r="AV262" i="6"/>
  <c r="AW262" i="6" s="1"/>
  <c r="AX262" i="6"/>
  <c r="AY262" i="6" s="1"/>
  <c r="AV263" i="6"/>
  <c r="AW263" i="6" s="1"/>
  <c r="AX263" i="6"/>
  <c r="AY263" i="6" s="1"/>
  <c r="AV264" i="6"/>
  <c r="AW264" i="6" s="1"/>
  <c r="AX264" i="6"/>
  <c r="AY264" i="6" s="1"/>
  <c r="AV265" i="6"/>
  <c r="AW265" i="6" s="1"/>
  <c r="AX265" i="6"/>
  <c r="AY265" i="6" s="1"/>
  <c r="AV266" i="6"/>
  <c r="AW266" i="6" s="1"/>
  <c r="AX266" i="6"/>
  <c r="AY266" i="6" s="1"/>
  <c r="AV267" i="6"/>
  <c r="AW267" i="6" s="1"/>
  <c r="AX267" i="6"/>
  <c r="AY267" i="6" s="1"/>
  <c r="AV268" i="6"/>
  <c r="AW268" i="6" s="1"/>
  <c r="AX268" i="6"/>
  <c r="AY268" i="6" s="1"/>
  <c r="AV269" i="6"/>
  <c r="AW269" i="6" s="1"/>
  <c r="AX269" i="6"/>
  <c r="AY269" i="6" s="1"/>
  <c r="AV270" i="6"/>
  <c r="AW270" i="6" s="1"/>
  <c r="AX270" i="6"/>
  <c r="AY270" i="6" s="1"/>
  <c r="AV271" i="6"/>
  <c r="AW271" i="6" s="1"/>
  <c r="AX271" i="6"/>
  <c r="AY271" i="6" s="1"/>
  <c r="AV272" i="6"/>
  <c r="AW272" i="6" s="1"/>
  <c r="AX272" i="6"/>
  <c r="AY272" i="6" s="1"/>
  <c r="AV273" i="6"/>
  <c r="AW273" i="6" s="1"/>
  <c r="AX273" i="6"/>
  <c r="AY273" i="6" s="1"/>
  <c r="AV274" i="6"/>
  <c r="AW274" i="6" s="1"/>
  <c r="AX274" i="6"/>
  <c r="AY274" i="6" s="1"/>
  <c r="AV275" i="6"/>
  <c r="AW275" i="6" s="1"/>
  <c r="AX275" i="6"/>
  <c r="AY275" i="6" s="1"/>
  <c r="AV276" i="6"/>
  <c r="AW276" i="6" s="1"/>
  <c r="AX276" i="6"/>
  <c r="AY276" i="6" s="1"/>
  <c r="AV277" i="6"/>
  <c r="AW277" i="6" s="1"/>
  <c r="AX277" i="6"/>
  <c r="AY277" i="6" s="1"/>
  <c r="AV278" i="6"/>
  <c r="AW278" i="6" s="1"/>
  <c r="AX278" i="6"/>
  <c r="AY278" i="6" s="1"/>
  <c r="AV279" i="6"/>
  <c r="AW279" i="6" s="1"/>
  <c r="AX279" i="6"/>
  <c r="AY279" i="6" s="1"/>
  <c r="AV280" i="6"/>
  <c r="AW280" i="6" s="1"/>
  <c r="AX280" i="6"/>
  <c r="AY280" i="6" s="1"/>
  <c r="AV281" i="6"/>
  <c r="AW281" i="6" s="1"/>
  <c r="AX281" i="6"/>
  <c r="AY281" i="6" s="1"/>
  <c r="AV282" i="6"/>
  <c r="AW282" i="6" s="1"/>
  <c r="AX282" i="6"/>
  <c r="AY282" i="6" s="1"/>
  <c r="AV283" i="6"/>
  <c r="AW283" i="6" s="1"/>
  <c r="AX283" i="6"/>
  <c r="AY283" i="6" s="1"/>
  <c r="AV284" i="6"/>
  <c r="AW284" i="6" s="1"/>
  <c r="AX284" i="6"/>
  <c r="AY284" i="6" s="1"/>
  <c r="AV285" i="6"/>
  <c r="AW285" i="6" s="1"/>
  <c r="AX285" i="6"/>
  <c r="AY285" i="6" s="1"/>
  <c r="AV286" i="6"/>
  <c r="AW286" i="6" s="1"/>
  <c r="AX286" i="6"/>
  <c r="AY286" i="6" s="1"/>
  <c r="AV287" i="6"/>
  <c r="AW287" i="6" s="1"/>
  <c r="AX287" i="6"/>
  <c r="AY287" i="6" s="1"/>
  <c r="AV289" i="6"/>
  <c r="AW289" i="6" s="1"/>
  <c r="AX289" i="6"/>
  <c r="AY289" i="6" s="1"/>
  <c r="AV288" i="6"/>
  <c r="AW288" i="6" s="1"/>
  <c r="AX288" i="6"/>
  <c r="AY288" i="6" s="1"/>
  <c r="AV290" i="6"/>
  <c r="AW290" i="6" s="1"/>
  <c r="AX290" i="6"/>
  <c r="AY290" i="6" s="1"/>
  <c r="AV291" i="6"/>
  <c r="AW291" i="6" s="1"/>
  <c r="AX291" i="6"/>
  <c r="AY291" i="6" s="1"/>
  <c r="AV292" i="6"/>
  <c r="AW292" i="6" s="1"/>
  <c r="AX292" i="6"/>
  <c r="AY292" i="6" s="1"/>
  <c r="AV293" i="6"/>
  <c r="AW293" i="6" s="1"/>
  <c r="AX293" i="6"/>
  <c r="AY293" i="6" s="1"/>
  <c r="AV294" i="6"/>
  <c r="AW294" i="6" s="1"/>
  <c r="AX294" i="6"/>
  <c r="AY294" i="6" s="1"/>
  <c r="AV295" i="6"/>
  <c r="AW295" i="6" s="1"/>
  <c r="AX295" i="6"/>
  <c r="AY295" i="6" s="1"/>
  <c r="AV296" i="6"/>
  <c r="AW296" i="6" s="1"/>
  <c r="AX296" i="6"/>
  <c r="AY296" i="6" s="1"/>
  <c r="AV297" i="6"/>
  <c r="AW297" i="6" s="1"/>
  <c r="AX297" i="6"/>
  <c r="AY297" i="6" s="1"/>
  <c r="AV298" i="6"/>
  <c r="AW298" i="6" s="1"/>
  <c r="AX298" i="6"/>
  <c r="AY298" i="6" s="1"/>
  <c r="AV299" i="6"/>
  <c r="AW299" i="6" s="1"/>
  <c r="AX299" i="6"/>
  <c r="AY299" i="6" s="1"/>
  <c r="AV300" i="6"/>
  <c r="AW300" i="6" s="1"/>
  <c r="AX300" i="6"/>
  <c r="AY300" i="6" s="1"/>
  <c r="AV301" i="6"/>
  <c r="AW301" i="6" s="1"/>
  <c r="AX301" i="6"/>
  <c r="AY301" i="6" s="1"/>
  <c r="AV302" i="6"/>
  <c r="AW302" i="6" s="1"/>
  <c r="AX302" i="6"/>
  <c r="AY302" i="6" s="1"/>
  <c r="AV303" i="6"/>
  <c r="AW303" i="6" s="1"/>
  <c r="AX303" i="6"/>
  <c r="AY303" i="6" s="1"/>
  <c r="AV304" i="6"/>
  <c r="AW304" i="6" s="1"/>
  <c r="AX304" i="6"/>
  <c r="AY304" i="6" s="1"/>
  <c r="AV305" i="6"/>
  <c r="AW305" i="6" s="1"/>
  <c r="AX305" i="6"/>
  <c r="AY305" i="6" s="1"/>
  <c r="AV306" i="6"/>
  <c r="AW306" i="6" s="1"/>
  <c r="AX306" i="6"/>
  <c r="AY306" i="6" s="1"/>
  <c r="AV307" i="6"/>
  <c r="AW307" i="6" s="1"/>
  <c r="AX307" i="6"/>
  <c r="AY307" i="6" s="1"/>
  <c r="AV308" i="6"/>
  <c r="AW308" i="6" s="1"/>
  <c r="AX308" i="6"/>
  <c r="AY308" i="6" s="1"/>
  <c r="AV309" i="6"/>
  <c r="AW309" i="6" s="1"/>
  <c r="AX309" i="6"/>
  <c r="AY309" i="6" s="1"/>
  <c r="AV310" i="6"/>
  <c r="AW310" i="6" s="1"/>
  <c r="AX310" i="6"/>
  <c r="AY310" i="6" s="1"/>
  <c r="AV311" i="6"/>
  <c r="AW311" i="6" s="1"/>
  <c r="AX311" i="6"/>
  <c r="AY311" i="6" s="1"/>
  <c r="AV312" i="6"/>
  <c r="AW312" i="6" s="1"/>
  <c r="AX312" i="6"/>
  <c r="AY312" i="6" s="1"/>
  <c r="AV313" i="6"/>
  <c r="AW313" i="6" s="1"/>
  <c r="AX313" i="6"/>
  <c r="AY313" i="6" s="1"/>
  <c r="AV314" i="6"/>
  <c r="AW314" i="6" s="1"/>
  <c r="AX314" i="6"/>
  <c r="AY314" i="6" s="1"/>
  <c r="AV315" i="6"/>
  <c r="AW315" i="6" s="1"/>
  <c r="AX315" i="6"/>
  <c r="AY315" i="6" s="1"/>
  <c r="AV316" i="6"/>
  <c r="AW316" i="6" s="1"/>
  <c r="AX316" i="6"/>
  <c r="AY316" i="6" s="1"/>
  <c r="AV317" i="6"/>
  <c r="AW317" i="6" s="1"/>
  <c r="AX317" i="6"/>
  <c r="AY317" i="6" s="1"/>
  <c r="AV318" i="6"/>
  <c r="AW318" i="6" s="1"/>
  <c r="AX318" i="6"/>
  <c r="AY318" i="6" s="1"/>
  <c r="AV319" i="6"/>
  <c r="AW319" i="6" s="1"/>
  <c r="AX319" i="6"/>
  <c r="AY319" i="6" s="1"/>
  <c r="AV320" i="6"/>
  <c r="AW320" i="6" s="1"/>
  <c r="AX320" i="6"/>
  <c r="AY320" i="6" s="1"/>
  <c r="AV321" i="6"/>
  <c r="AW321" i="6" s="1"/>
  <c r="AX321" i="6"/>
  <c r="AY321" i="6" s="1"/>
  <c r="AV322" i="6"/>
  <c r="AW322" i="6" s="1"/>
  <c r="AX322" i="6"/>
  <c r="AY322" i="6" s="1"/>
  <c r="AV323" i="6"/>
  <c r="AW323" i="6" s="1"/>
  <c r="AX323" i="6"/>
  <c r="AY323" i="6" s="1"/>
  <c r="AV324" i="6"/>
  <c r="AW324" i="6" s="1"/>
  <c r="AX324" i="6"/>
  <c r="AY324" i="6" s="1"/>
  <c r="AV325" i="6"/>
  <c r="AW325" i="6" s="1"/>
  <c r="AX325" i="6"/>
  <c r="AY325" i="6" s="1"/>
  <c r="AV326" i="6"/>
  <c r="AW326" i="6" s="1"/>
  <c r="AX326" i="6"/>
  <c r="AY326" i="6" s="1"/>
  <c r="AV327" i="6"/>
  <c r="AW327" i="6" s="1"/>
  <c r="AX327" i="6"/>
  <c r="AY327" i="6" s="1"/>
  <c r="AV328" i="6"/>
  <c r="AW328" i="6" s="1"/>
  <c r="AX328" i="6"/>
  <c r="AY328" i="6" s="1"/>
  <c r="AV329" i="6"/>
  <c r="AW329" i="6" s="1"/>
  <c r="AX329" i="6"/>
  <c r="AY329" i="6" s="1"/>
  <c r="AV330" i="6"/>
  <c r="AW330" i="6" s="1"/>
  <c r="AX330" i="6"/>
  <c r="AY330" i="6" s="1"/>
  <c r="AV331" i="6"/>
  <c r="AW331" i="6" s="1"/>
  <c r="AX331" i="6"/>
  <c r="AY331" i="6" s="1"/>
  <c r="AV332" i="6"/>
  <c r="AW332" i="6" s="1"/>
  <c r="AX332" i="6"/>
  <c r="AY332" i="6" s="1"/>
  <c r="AV333" i="6"/>
  <c r="AW333" i="6" s="1"/>
  <c r="AX333" i="6"/>
  <c r="AY333" i="6" s="1"/>
  <c r="AV334" i="6"/>
  <c r="AW334" i="6" s="1"/>
  <c r="AX334" i="6"/>
  <c r="AY334" i="6" s="1"/>
  <c r="AV335" i="6"/>
  <c r="AW335" i="6" s="1"/>
  <c r="AX335" i="6"/>
  <c r="AY335" i="6" s="1"/>
  <c r="AV336" i="6"/>
  <c r="AW336" i="6" s="1"/>
  <c r="AX336" i="6"/>
  <c r="AY336" i="6" s="1"/>
  <c r="AV337" i="6"/>
  <c r="AW337" i="6" s="1"/>
  <c r="AX337" i="6"/>
  <c r="AY337" i="6" s="1"/>
  <c r="AV338" i="6"/>
  <c r="AW338" i="6" s="1"/>
  <c r="AX338" i="6"/>
  <c r="AY338" i="6" s="1"/>
  <c r="AV339" i="6"/>
  <c r="AW339" i="6" s="1"/>
  <c r="AX339" i="6"/>
  <c r="AY339" i="6" s="1"/>
  <c r="AV340" i="6"/>
  <c r="AW340" i="6" s="1"/>
  <c r="AX340" i="6"/>
  <c r="AY340" i="6" s="1"/>
  <c r="AV341" i="6"/>
  <c r="AW341" i="6" s="1"/>
  <c r="AX341" i="6"/>
  <c r="AY341" i="6" s="1"/>
  <c r="AV342" i="6"/>
  <c r="AW342" i="6" s="1"/>
  <c r="AX342" i="6"/>
  <c r="AY342" i="6" s="1"/>
  <c r="AV343" i="6"/>
  <c r="AW343" i="6" s="1"/>
  <c r="AX343" i="6"/>
  <c r="AY343" i="6" s="1"/>
  <c r="AV344" i="6"/>
  <c r="AW344" i="6" s="1"/>
  <c r="AX344" i="6"/>
  <c r="AY344" i="6" s="1"/>
  <c r="AV345" i="6"/>
  <c r="AW345" i="6" s="1"/>
  <c r="AX345" i="6"/>
  <c r="AY345" i="6" s="1"/>
  <c r="AV346" i="6"/>
  <c r="AW346" i="6" s="1"/>
  <c r="AX346" i="6"/>
  <c r="AY346" i="6" s="1"/>
  <c r="AV347" i="6"/>
  <c r="AW347" i="6" s="1"/>
  <c r="AX347" i="6"/>
  <c r="AY347" i="6" s="1"/>
  <c r="AV348" i="6"/>
  <c r="AW348" i="6" s="1"/>
  <c r="AX348" i="6"/>
  <c r="AY348" i="6" s="1"/>
  <c r="AV349" i="6"/>
  <c r="AW349" i="6" s="1"/>
  <c r="AX349" i="6"/>
  <c r="AY349" i="6" s="1"/>
  <c r="AV350" i="6"/>
  <c r="AW350" i="6" s="1"/>
  <c r="AX350" i="6"/>
  <c r="AY350" i="6" s="1"/>
  <c r="AV351" i="6"/>
  <c r="AW351" i="6" s="1"/>
  <c r="AX351" i="6"/>
  <c r="AY351" i="6" s="1"/>
  <c r="AV352" i="6"/>
  <c r="AW352" i="6" s="1"/>
  <c r="AX352" i="6"/>
  <c r="AY352" i="6" s="1"/>
  <c r="AV353" i="6"/>
  <c r="AW353" i="6" s="1"/>
  <c r="AX353" i="6"/>
  <c r="AY353" i="6" s="1"/>
  <c r="AV354" i="6"/>
  <c r="AW354" i="6" s="1"/>
  <c r="AX354" i="6"/>
  <c r="AY354" i="6" s="1"/>
  <c r="AV355" i="6"/>
  <c r="AW355" i="6" s="1"/>
  <c r="AX355" i="6"/>
  <c r="AY355" i="6" s="1"/>
  <c r="AV356" i="6"/>
  <c r="AW356" i="6" s="1"/>
  <c r="AX356" i="6"/>
  <c r="AY356" i="6" s="1"/>
  <c r="AV357" i="6"/>
  <c r="AW357" i="6" s="1"/>
  <c r="AX357" i="6"/>
  <c r="AY357" i="6" s="1"/>
  <c r="AV358" i="6"/>
  <c r="AW358" i="6" s="1"/>
  <c r="AX358" i="6"/>
  <c r="AY358" i="6" s="1"/>
  <c r="AV359" i="6"/>
  <c r="AW359" i="6" s="1"/>
  <c r="AX359" i="6"/>
  <c r="AY359" i="6" s="1"/>
  <c r="AV360" i="6"/>
  <c r="AW360" i="6" s="1"/>
  <c r="AX360" i="6"/>
  <c r="AY360" i="6" s="1"/>
  <c r="AV361" i="6"/>
  <c r="AW361" i="6" s="1"/>
  <c r="AX361" i="6"/>
  <c r="AY361" i="6" s="1"/>
  <c r="AV362" i="6"/>
  <c r="AW362" i="6" s="1"/>
  <c r="AX362" i="6"/>
  <c r="AY362" i="6" s="1"/>
  <c r="AV363" i="6"/>
  <c r="AW363" i="6" s="1"/>
  <c r="AX363" i="6"/>
  <c r="AY363" i="6" s="1"/>
  <c r="AV364" i="6"/>
  <c r="AW364" i="6" s="1"/>
  <c r="AX364" i="6"/>
  <c r="AY364" i="6" s="1"/>
  <c r="AV365" i="6"/>
  <c r="AW365" i="6" s="1"/>
  <c r="AX365" i="6"/>
  <c r="AY365" i="6" s="1"/>
  <c r="AV366" i="6"/>
  <c r="AW366" i="6" s="1"/>
  <c r="AX366" i="6"/>
  <c r="AY366" i="6" s="1"/>
  <c r="AV367" i="6"/>
  <c r="AW367" i="6" s="1"/>
  <c r="AX367" i="6"/>
  <c r="AY367" i="6" s="1"/>
  <c r="AV368" i="6"/>
  <c r="AW368" i="6" s="1"/>
  <c r="AX368" i="6"/>
  <c r="AY368" i="6" s="1"/>
  <c r="AV369" i="6"/>
  <c r="AW369" i="6" s="1"/>
  <c r="AX369" i="6"/>
  <c r="AY369" i="6" s="1"/>
  <c r="AV370" i="6"/>
  <c r="AW370" i="6" s="1"/>
  <c r="AX370" i="6"/>
  <c r="AY370" i="6" s="1"/>
  <c r="AV371" i="6"/>
  <c r="AW371" i="6" s="1"/>
  <c r="AX371" i="6"/>
  <c r="AY371" i="6" s="1"/>
  <c r="AV372" i="6"/>
  <c r="AW372" i="6" s="1"/>
  <c r="AX372" i="6"/>
  <c r="AY372" i="6" s="1"/>
  <c r="AV374" i="6"/>
  <c r="AW374" i="6" s="1"/>
  <c r="AX374" i="6"/>
  <c r="AY374" i="6" s="1"/>
  <c r="AV376" i="6"/>
  <c r="AW376" i="6" s="1"/>
  <c r="AX376" i="6"/>
  <c r="AY376" i="6" s="1"/>
  <c r="AV377" i="6"/>
  <c r="AW377" i="6" s="1"/>
  <c r="AX377" i="6"/>
  <c r="AY377" i="6" s="1"/>
  <c r="AV373" i="6"/>
  <c r="AW373" i="6" s="1"/>
  <c r="AX373" i="6"/>
  <c r="AY373" i="6" s="1"/>
  <c r="AV375" i="6"/>
  <c r="AW375" i="6" s="1"/>
  <c r="AX375" i="6"/>
  <c r="AY375" i="6" s="1"/>
  <c r="AV378" i="6"/>
  <c r="AW378" i="6" s="1"/>
  <c r="AX378" i="6"/>
  <c r="AY378" i="6" s="1"/>
  <c r="AV379" i="6"/>
  <c r="AW379" i="6" s="1"/>
  <c r="AX379" i="6"/>
  <c r="AY379" i="6" s="1"/>
  <c r="AV380" i="6"/>
  <c r="AW380" i="6" s="1"/>
  <c r="AX380" i="6"/>
  <c r="AY380" i="6" s="1"/>
  <c r="AV381" i="6"/>
  <c r="AW381" i="6" s="1"/>
  <c r="AX381" i="6"/>
  <c r="AY381" i="6" s="1"/>
  <c r="AV382" i="6"/>
  <c r="AW382" i="6" s="1"/>
  <c r="AX382" i="6"/>
  <c r="AY382" i="6" s="1"/>
  <c r="AV383" i="6"/>
  <c r="AW383" i="6" s="1"/>
  <c r="AX383" i="6"/>
  <c r="AY383" i="6" s="1"/>
  <c r="AV384" i="6"/>
  <c r="AW384" i="6" s="1"/>
  <c r="AX384" i="6"/>
  <c r="AY384" i="6" s="1"/>
  <c r="AV385" i="6"/>
  <c r="AW385" i="6" s="1"/>
  <c r="AX385" i="6"/>
  <c r="AY385" i="6" s="1"/>
  <c r="AV386" i="6"/>
  <c r="AW386" i="6" s="1"/>
  <c r="AX386" i="6"/>
  <c r="AY386" i="6" s="1"/>
  <c r="AV387" i="6"/>
  <c r="AW387" i="6" s="1"/>
  <c r="AX387" i="6"/>
  <c r="AY387" i="6" s="1"/>
  <c r="AV395" i="6"/>
  <c r="AW395" i="6" s="1"/>
  <c r="AX395" i="6"/>
  <c r="AY395" i="6" s="1"/>
  <c r="AV388" i="6"/>
  <c r="AW388" i="6" s="1"/>
  <c r="AX388" i="6"/>
  <c r="AY388" i="6" s="1"/>
  <c r="AV428" i="6"/>
  <c r="AW428" i="6" s="1"/>
  <c r="AX428" i="6"/>
  <c r="AY428" i="6" s="1"/>
  <c r="AV389" i="6"/>
  <c r="AW389" i="6" s="1"/>
  <c r="AX389" i="6"/>
  <c r="AY389" i="6" s="1"/>
  <c r="AV390" i="6"/>
  <c r="AW390" i="6" s="1"/>
  <c r="AX390" i="6"/>
  <c r="AY390" i="6" s="1"/>
  <c r="AV391" i="6"/>
  <c r="AW391" i="6" s="1"/>
  <c r="AX391" i="6"/>
  <c r="AY391" i="6" s="1"/>
  <c r="AV392" i="6"/>
  <c r="AW392" i="6" s="1"/>
  <c r="AX392" i="6"/>
  <c r="AY392" i="6" s="1"/>
  <c r="AV393" i="6"/>
  <c r="AW393" i="6" s="1"/>
  <c r="AX393" i="6"/>
  <c r="AY393" i="6" s="1"/>
  <c r="AV394" i="6"/>
  <c r="AW394" i="6" s="1"/>
  <c r="AX394" i="6"/>
  <c r="AY394" i="6" s="1"/>
  <c r="AV396" i="6"/>
  <c r="AW396" i="6" s="1"/>
  <c r="AX396" i="6"/>
  <c r="AY396" i="6" s="1"/>
  <c r="AV397" i="6"/>
  <c r="AW397" i="6" s="1"/>
  <c r="AX397" i="6"/>
  <c r="AY397" i="6" s="1"/>
  <c r="AV398" i="6"/>
  <c r="AW398" i="6" s="1"/>
  <c r="AX398" i="6"/>
  <c r="AY398" i="6" s="1"/>
  <c r="AV399" i="6"/>
  <c r="AW399" i="6" s="1"/>
  <c r="AX399" i="6"/>
  <c r="AY399" i="6" s="1"/>
  <c r="AV400" i="6"/>
  <c r="AW400" i="6" s="1"/>
  <c r="AX400" i="6"/>
  <c r="AY400" i="6" s="1"/>
  <c r="AV401" i="6"/>
  <c r="AW401" i="6" s="1"/>
  <c r="AX401" i="6"/>
  <c r="AY401" i="6" s="1"/>
  <c r="AV402" i="6"/>
  <c r="AW402" i="6" s="1"/>
  <c r="AX402" i="6"/>
  <c r="AY402" i="6" s="1"/>
  <c r="AV403" i="6"/>
  <c r="AW403" i="6" s="1"/>
  <c r="AX403" i="6"/>
  <c r="AY403" i="6" s="1"/>
  <c r="AV404" i="6"/>
  <c r="AW404" i="6" s="1"/>
  <c r="AX404" i="6"/>
  <c r="AY404" i="6" s="1"/>
  <c r="AV405" i="6"/>
  <c r="AW405" i="6" s="1"/>
  <c r="AX405" i="6"/>
  <c r="AY405" i="6" s="1"/>
  <c r="AV406" i="6"/>
  <c r="AW406" i="6" s="1"/>
  <c r="AX406" i="6"/>
  <c r="AY406" i="6" s="1"/>
  <c r="AV407" i="6"/>
  <c r="AW407" i="6" s="1"/>
  <c r="AX407" i="6"/>
  <c r="AY407" i="6" s="1"/>
  <c r="AV408" i="6"/>
  <c r="AW408" i="6" s="1"/>
  <c r="AX408" i="6"/>
  <c r="AY408" i="6" s="1"/>
  <c r="AV409" i="6"/>
  <c r="AW409" i="6" s="1"/>
  <c r="AX409" i="6"/>
  <c r="AY409" i="6" s="1"/>
  <c r="AV410" i="6"/>
  <c r="AW410" i="6" s="1"/>
  <c r="AX410" i="6"/>
  <c r="AY410" i="6" s="1"/>
  <c r="AV411" i="6"/>
  <c r="AW411" i="6" s="1"/>
  <c r="AX411" i="6"/>
  <c r="AY411" i="6" s="1"/>
  <c r="AV412" i="6"/>
  <c r="AW412" i="6" s="1"/>
  <c r="AX412" i="6"/>
  <c r="AY412" i="6" s="1"/>
  <c r="AV413" i="6"/>
  <c r="AW413" i="6" s="1"/>
  <c r="AX413" i="6"/>
  <c r="AY413" i="6" s="1"/>
  <c r="AV414" i="6"/>
  <c r="AW414" i="6" s="1"/>
  <c r="AX414" i="6"/>
  <c r="AY414" i="6" s="1"/>
  <c r="AV415" i="6"/>
  <c r="AW415" i="6" s="1"/>
  <c r="AX415" i="6"/>
  <c r="AY415" i="6" s="1"/>
  <c r="AV417" i="6"/>
  <c r="AW417" i="6" s="1"/>
  <c r="AX417" i="6"/>
  <c r="AY417" i="6" s="1"/>
  <c r="AV418" i="6"/>
  <c r="AW418" i="6" s="1"/>
  <c r="AX418" i="6"/>
  <c r="AY418" i="6" s="1"/>
  <c r="AV419" i="6"/>
  <c r="AW419" i="6" s="1"/>
  <c r="AX419" i="6"/>
  <c r="AY419" i="6" s="1"/>
  <c r="AV420" i="6"/>
  <c r="AW420" i="6" s="1"/>
  <c r="AX420" i="6"/>
  <c r="AY420" i="6" s="1"/>
  <c r="AV421" i="6"/>
  <c r="AW421" i="6" s="1"/>
  <c r="AX421" i="6"/>
  <c r="AY421" i="6" s="1"/>
  <c r="AV422" i="6"/>
  <c r="AW422" i="6" s="1"/>
  <c r="AX422" i="6"/>
  <c r="AY422" i="6" s="1"/>
  <c r="AV423" i="6"/>
  <c r="AW423" i="6" s="1"/>
  <c r="AX423" i="6"/>
  <c r="AY423" i="6" s="1"/>
  <c r="AV424" i="6"/>
  <c r="AW424" i="6" s="1"/>
  <c r="AX424" i="6"/>
  <c r="AY424" i="6" s="1"/>
  <c r="AV425" i="6"/>
  <c r="AW425" i="6" s="1"/>
  <c r="AX425" i="6"/>
  <c r="AY425" i="6" s="1"/>
  <c r="AV426" i="6"/>
  <c r="AW426" i="6" s="1"/>
  <c r="AX426" i="6"/>
  <c r="AY426" i="6" s="1"/>
  <c r="AV427" i="6"/>
  <c r="AW427" i="6" s="1"/>
  <c r="AX427" i="6"/>
  <c r="AY427" i="6" s="1"/>
  <c r="AV429" i="6"/>
  <c r="AW429" i="6" s="1"/>
  <c r="AX429" i="6"/>
  <c r="AY429" i="6" s="1"/>
  <c r="AV430" i="6"/>
  <c r="AW430" i="6" s="1"/>
  <c r="AX430" i="6"/>
  <c r="AY430" i="6" s="1"/>
  <c r="AV431" i="6"/>
  <c r="AW431" i="6" s="1"/>
  <c r="AX431" i="6"/>
  <c r="AY431" i="6" s="1"/>
  <c r="AV432" i="6"/>
  <c r="AW432" i="6" s="1"/>
  <c r="AX432" i="6"/>
  <c r="AY432" i="6" s="1"/>
  <c r="AV416" i="6"/>
  <c r="AW416" i="6" s="1"/>
  <c r="AX416" i="6"/>
  <c r="AY416" i="6" s="1"/>
  <c r="AV433" i="6"/>
  <c r="AW433" i="6" s="1"/>
  <c r="AX433" i="6"/>
  <c r="AY433" i="6" s="1"/>
  <c r="AV434" i="6"/>
  <c r="AW434" i="6" s="1"/>
  <c r="AX434" i="6"/>
  <c r="AY434" i="6" s="1"/>
  <c r="AV435" i="6"/>
  <c r="AW435" i="6" s="1"/>
  <c r="AX435" i="6"/>
  <c r="AY435" i="6" s="1"/>
  <c r="AV436" i="6"/>
  <c r="AW436" i="6" s="1"/>
  <c r="AX436" i="6"/>
  <c r="AY436" i="6" s="1"/>
  <c r="AV437" i="6"/>
  <c r="AW437" i="6" s="1"/>
  <c r="AX437" i="6"/>
  <c r="AY437" i="6" s="1"/>
  <c r="AV438" i="6"/>
  <c r="AW438" i="6" s="1"/>
  <c r="AX438" i="6"/>
  <c r="AY438" i="6" s="1"/>
  <c r="AV439" i="6"/>
  <c r="AW439" i="6" s="1"/>
  <c r="AX439" i="6"/>
  <c r="AY439" i="6" s="1"/>
  <c r="AV440" i="6"/>
  <c r="AW440" i="6" s="1"/>
  <c r="AX440" i="6"/>
  <c r="AY440" i="6" s="1"/>
  <c r="AV441" i="6"/>
  <c r="AW441" i="6" s="1"/>
  <c r="AX441" i="6"/>
  <c r="AY441" i="6" s="1"/>
  <c r="AV442" i="6"/>
  <c r="AW442" i="6" s="1"/>
  <c r="AX442" i="6"/>
  <c r="AY442" i="6" s="1"/>
  <c r="AV443" i="6"/>
  <c r="AW443" i="6" s="1"/>
  <c r="AX443" i="6"/>
  <c r="AY443" i="6" s="1"/>
  <c r="AV444" i="6"/>
  <c r="AW444" i="6" s="1"/>
  <c r="AX444" i="6"/>
  <c r="AY444" i="6" s="1"/>
  <c r="AV445" i="6"/>
  <c r="AW445" i="6" s="1"/>
  <c r="AX445" i="6"/>
  <c r="AY445" i="6" s="1"/>
  <c r="AV447" i="6"/>
  <c r="AW447" i="6" s="1"/>
  <c r="AX447" i="6"/>
  <c r="AY447" i="6" s="1"/>
  <c r="AV449" i="6"/>
  <c r="AW449" i="6" s="1"/>
  <c r="AX449" i="6"/>
  <c r="AY449" i="6" s="1"/>
  <c r="AV450" i="6"/>
  <c r="AW450" i="6" s="1"/>
  <c r="AX450" i="6"/>
  <c r="AY450" i="6" s="1"/>
  <c r="AV451" i="6"/>
  <c r="AW451" i="6" s="1"/>
  <c r="AX451" i="6"/>
  <c r="AY451" i="6" s="1"/>
  <c r="AV452" i="6"/>
  <c r="AW452" i="6" s="1"/>
  <c r="AX452" i="6"/>
  <c r="AY452" i="6" s="1"/>
  <c r="AV446" i="6"/>
  <c r="AW446" i="6" s="1"/>
  <c r="AX446" i="6"/>
  <c r="AY446" i="6" s="1"/>
  <c r="AV453" i="6"/>
  <c r="AW453" i="6" s="1"/>
  <c r="AX453" i="6"/>
  <c r="AY453" i="6" s="1"/>
  <c r="AV454" i="6"/>
  <c r="AW454" i="6" s="1"/>
  <c r="AX454" i="6"/>
  <c r="AY454" i="6" s="1"/>
  <c r="AV455" i="6"/>
  <c r="AW455" i="6" s="1"/>
  <c r="AX455" i="6"/>
  <c r="AY455" i="6" s="1"/>
  <c r="AV448" i="6"/>
  <c r="AW448" i="6" s="1"/>
  <c r="AX448" i="6"/>
  <c r="AY448" i="6" s="1"/>
  <c r="AV456" i="6"/>
  <c r="AW456" i="6" s="1"/>
  <c r="AX456" i="6"/>
  <c r="AY456" i="6" s="1"/>
  <c r="AV457" i="6"/>
  <c r="AW457" i="6" s="1"/>
  <c r="AX457" i="6"/>
  <c r="AY457" i="6" s="1"/>
  <c r="AV458" i="6"/>
  <c r="AW458" i="6" s="1"/>
  <c r="AX458" i="6"/>
  <c r="AY458" i="6" s="1"/>
  <c r="AV459" i="6"/>
  <c r="AW459" i="6" s="1"/>
  <c r="AX459" i="6"/>
  <c r="AY459" i="6" s="1"/>
  <c r="AV460" i="6"/>
  <c r="AW460" i="6" s="1"/>
  <c r="AX460" i="6"/>
  <c r="AY460" i="6" s="1"/>
  <c r="AV461" i="6"/>
  <c r="AW461" i="6" s="1"/>
  <c r="AX461" i="6"/>
  <c r="AY461" i="6" s="1"/>
  <c r="AV462" i="6"/>
  <c r="AW462" i="6" s="1"/>
  <c r="AX462" i="6"/>
  <c r="AY462" i="6" s="1"/>
  <c r="AV463" i="6"/>
  <c r="AW463" i="6" s="1"/>
  <c r="AX463" i="6"/>
  <c r="AY463" i="6" s="1"/>
  <c r="AV464" i="6"/>
  <c r="AW464" i="6" s="1"/>
  <c r="AX464" i="6"/>
  <c r="AY464" i="6" s="1"/>
  <c r="AV465" i="6"/>
  <c r="AW465" i="6" s="1"/>
  <c r="AX465" i="6"/>
  <c r="AY465" i="6" s="1"/>
  <c r="AV466" i="6"/>
  <c r="AW466" i="6" s="1"/>
  <c r="AX466" i="6"/>
  <c r="AY466" i="6" s="1"/>
  <c r="AV468" i="6"/>
  <c r="AW468" i="6" s="1"/>
  <c r="AX468" i="6"/>
  <c r="AY468" i="6" s="1"/>
  <c r="AV469" i="6"/>
  <c r="AW469" i="6" s="1"/>
  <c r="AX469" i="6"/>
  <c r="AY469" i="6" s="1"/>
  <c r="AV470" i="6"/>
  <c r="AW470" i="6" s="1"/>
  <c r="AX470" i="6"/>
  <c r="AY470" i="6" s="1"/>
  <c r="AV467" i="6"/>
  <c r="AW467" i="6" s="1"/>
  <c r="AX467" i="6"/>
  <c r="AY467" i="6" s="1"/>
  <c r="AV471" i="6"/>
  <c r="AW471" i="6" s="1"/>
  <c r="AX471" i="6"/>
  <c r="AY471" i="6" s="1"/>
  <c r="AV472" i="6"/>
  <c r="AW472" i="6" s="1"/>
  <c r="AX472" i="6"/>
  <c r="AY472" i="6" s="1"/>
  <c r="AV473" i="6"/>
  <c r="AW473" i="6" s="1"/>
  <c r="AX473" i="6"/>
  <c r="AY473" i="6" s="1"/>
  <c r="AV474" i="6"/>
  <c r="AW474" i="6" s="1"/>
  <c r="AX474" i="6"/>
  <c r="AY474" i="6" s="1"/>
  <c r="AV476" i="6"/>
  <c r="AW476" i="6" s="1"/>
  <c r="AX476" i="6"/>
  <c r="AY476" i="6" s="1"/>
  <c r="AV477" i="6"/>
  <c r="AW477" i="6" s="1"/>
  <c r="AX477" i="6"/>
  <c r="AY477" i="6" s="1"/>
  <c r="AV479" i="6"/>
  <c r="AW479" i="6" s="1"/>
  <c r="AX479" i="6"/>
  <c r="AY479" i="6" s="1"/>
  <c r="AV480" i="6"/>
  <c r="AW480" i="6" s="1"/>
  <c r="AX480" i="6"/>
  <c r="AY480" i="6" s="1"/>
  <c r="AV482" i="6"/>
  <c r="AW482" i="6" s="1"/>
  <c r="AX482" i="6"/>
  <c r="AY482" i="6" s="1"/>
  <c r="AV483" i="6"/>
  <c r="AW483" i="6" s="1"/>
  <c r="AX483" i="6"/>
  <c r="AY483" i="6" s="1"/>
  <c r="AV475" i="6"/>
  <c r="AW475" i="6" s="1"/>
  <c r="AX475" i="6"/>
  <c r="AY475" i="6" s="1"/>
  <c r="AV484" i="6"/>
  <c r="AW484" i="6" s="1"/>
  <c r="AX484" i="6"/>
  <c r="AY484" i="6" s="1"/>
  <c r="AV485" i="6"/>
  <c r="AW485" i="6" s="1"/>
  <c r="AX485" i="6"/>
  <c r="AY485" i="6" s="1"/>
  <c r="AV478" i="6"/>
  <c r="AW478" i="6" s="1"/>
  <c r="AX478" i="6"/>
  <c r="AY478" i="6" s="1"/>
  <c r="AV486" i="6"/>
  <c r="AW486" i="6" s="1"/>
  <c r="AX486" i="6"/>
  <c r="AY486" i="6" s="1"/>
  <c r="AV481" i="6"/>
  <c r="AW481" i="6" s="1"/>
  <c r="AX481" i="6"/>
  <c r="AY481" i="6" s="1"/>
  <c r="AV487" i="6"/>
  <c r="AW487" i="6" s="1"/>
  <c r="AX487" i="6"/>
  <c r="AY487" i="6" s="1"/>
  <c r="AV488" i="6"/>
  <c r="AW488" i="6" s="1"/>
  <c r="AX488" i="6"/>
  <c r="AY488" i="6" s="1"/>
  <c r="AV489" i="6"/>
  <c r="AW489" i="6" s="1"/>
  <c r="AX489" i="6"/>
  <c r="AY489" i="6" s="1"/>
  <c r="AV490" i="6"/>
  <c r="AW490" i="6" s="1"/>
  <c r="AX490" i="6"/>
  <c r="AY490" i="6" s="1"/>
  <c r="AV491" i="6"/>
  <c r="AW491" i="6" s="1"/>
  <c r="AX491" i="6"/>
  <c r="AY491" i="6" s="1"/>
  <c r="AV492" i="6"/>
  <c r="AW492" i="6" s="1"/>
  <c r="AX492" i="6"/>
  <c r="AY492" i="6" s="1"/>
  <c r="AV493" i="6"/>
  <c r="AW493" i="6" s="1"/>
  <c r="AX493" i="6"/>
  <c r="AY493" i="6" s="1"/>
  <c r="AV494" i="6"/>
  <c r="AW494" i="6" s="1"/>
  <c r="AX494" i="6"/>
  <c r="AY494" i="6" s="1"/>
  <c r="AV495" i="6"/>
  <c r="AW495" i="6" s="1"/>
  <c r="AX495" i="6"/>
  <c r="AY495" i="6" s="1"/>
  <c r="AV496" i="6"/>
  <c r="AW496" i="6" s="1"/>
  <c r="AX496" i="6"/>
  <c r="AY496" i="6" s="1"/>
  <c r="AV497" i="6"/>
  <c r="AW497" i="6" s="1"/>
  <c r="AX497" i="6"/>
  <c r="AY497" i="6" s="1"/>
  <c r="AV498" i="6"/>
  <c r="AW498" i="6" s="1"/>
  <c r="AX498" i="6"/>
  <c r="AY498" i="6" s="1"/>
  <c r="AV499" i="6"/>
  <c r="AW499" i="6" s="1"/>
  <c r="AX499" i="6"/>
  <c r="AY499" i="6" s="1"/>
  <c r="AV500" i="6"/>
  <c r="AW500" i="6" s="1"/>
  <c r="AX500" i="6"/>
  <c r="AY500" i="6" s="1"/>
  <c r="AV501" i="6"/>
  <c r="AW501" i="6" s="1"/>
  <c r="AX501" i="6"/>
  <c r="AY501" i="6" s="1"/>
  <c r="AV502" i="6"/>
  <c r="AW502" i="6" s="1"/>
  <c r="AX502" i="6"/>
  <c r="AY502" i="6" s="1"/>
  <c r="AV503" i="6"/>
  <c r="AW503" i="6" s="1"/>
  <c r="AX503" i="6"/>
  <c r="AY503" i="6" s="1"/>
  <c r="AV504" i="6"/>
  <c r="AW504" i="6" s="1"/>
  <c r="AX504" i="6"/>
  <c r="AY504" i="6" s="1"/>
  <c r="AV505" i="6"/>
  <c r="AW505" i="6" s="1"/>
  <c r="AX505" i="6"/>
  <c r="AY505" i="6" s="1"/>
  <c r="AV506" i="6"/>
  <c r="AW506" i="6" s="1"/>
  <c r="AX506" i="6"/>
  <c r="AY506" i="6" s="1"/>
  <c r="AV507" i="6"/>
  <c r="AW507" i="6" s="1"/>
  <c r="AX507" i="6"/>
  <c r="AY507" i="6" s="1"/>
  <c r="AV508" i="6"/>
  <c r="AW508" i="6" s="1"/>
  <c r="AX508" i="6"/>
  <c r="AY508" i="6" s="1"/>
  <c r="AV509" i="6"/>
  <c r="AW509" i="6" s="1"/>
  <c r="AX509" i="6"/>
  <c r="AY509" i="6" s="1"/>
  <c r="AV510" i="6"/>
  <c r="AW510" i="6" s="1"/>
  <c r="AX510" i="6"/>
  <c r="AY510" i="6" s="1"/>
  <c r="AV511" i="6"/>
  <c r="AW511" i="6" s="1"/>
  <c r="AX511" i="6"/>
  <c r="AY511" i="6" s="1"/>
  <c r="AV512" i="6"/>
  <c r="AW512" i="6" s="1"/>
  <c r="AX512" i="6"/>
  <c r="AY512" i="6" s="1"/>
  <c r="AV513" i="6"/>
  <c r="AW513" i="6" s="1"/>
  <c r="AX513" i="6"/>
  <c r="AY513" i="6" s="1"/>
  <c r="AV514" i="6"/>
  <c r="AW514" i="6" s="1"/>
  <c r="AX514" i="6"/>
  <c r="AY514" i="6" s="1"/>
  <c r="AV515" i="6"/>
  <c r="AW515" i="6" s="1"/>
  <c r="AX515" i="6"/>
  <c r="AY515" i="6" s="1"/>
  <c r="AV516" i="6"/>
  <c r="AW516" i="6" s="1"/>
  <c r="AX516" i="6"/>
  <c r="AY516" i="6" s="1"/>
  <c r="AV517" i="6"/>
  <c r="AW517" i="6" s="1"/>
  <c r="AX517" i="6"/>
  <c r="AY517" i="6" s="1"/>
  <c r="AV518" i="6"/>
  <c r="AW518" i="6" s="1"/>
  <c r="AX518" i="6"/>
  <c r="AY518" i="6" s="1"/>
  <c r="AV519" i="6"/>
  <c r="AW519" i="6" s="1"/>
  <c r="AX519" i="6"/>
  <c r="AY519" i="6" s="1"/>
  <c r="AV520" i="6"/>
  <c r="AW520" i="6" s="1"/>
  <c r="AX520" i="6"/>
  <c r="AY520" i="6" s="1"/>
  <c r="AV521" i="6"/>
  <c r="AW521" i="6" s="1"/>
  <c r="AX521" i="6"/>
  <c r="AY521" i="6" s="1"/>
  <c r="AV522" i="6"/>
  <c r="AW522" i="6" s="1"/>
  <c r="AX522" i="6"/>
  <c r="AY522" i="6" s="1"/>
  <c r="AV523" i="6"/>
  <c r="AW523" i="6" s="1"/>
  <c r="AX523" i="6"/>
  <c r="AY523" i="6" s="1"/>
  <c r="AV524" i="6"/>
  <c r="AW524" i="6" s="1"/>
  <c r="AX524" i="6"/>
  <c r="AY524" i="6" s="1"/>
  <c r="AV525" i="6"/>
  <c r="AW525" i="6" s="1"/>
  <c r="AX525" i="6"/>
  <c r="AY525" i="6" s="1"/>
  <c r="AV526" i="6"/>
  <c r="AW526" i="6" s="1"/>
  <c r="AX526" i="6"/>
  <c r="AY526" i="6" s="1"/>
  <c r="AV527" i="6"/>
  <c r="AW527" i="6" s="1"/>
  <c r="AX527" i="6"/>
  <c r="AY527" i="6" s="1"/>
  <c r="AV528" i="6"/>
  <c r="AW528" i="6" s="1"/>
  <c r="AX528" i="6"/>
  <c r="AY528" i="6" s="1"/>
  <c r="AV529" i="6"/>
  <c r="AW529" i="6" s="1"/>
  <c r="AX529" i="6"/>
  <c r="AY529" i="6" s="1"/>
  <c r="AV530" i="6"/>
  <c r="AW530" i="6" s="1"/>
  <c r="AX530" i="6"/>
  <c r="AY530" i="6" s="1"/>
  <c r="AV531" i="6"/>
  <c r="AW531" i="6" s="1"/>
  <c r="AX531" i="6"/>
  <c r="AY531" i="6" s="1"/>
  <c r="AV532" i="6"/>
  <c r="AW532" i="6" s="1"/>
  <c r="AX532" i="6"/>
  <c r="AY532" i="6" s="1"/>
  <c r="AV533" i="6"/>
  <c r="AW533" i="6" s="1"/>
  <c r="AX533" i="6"/>
  <c r="AY533" i="6" s="1"/>
  <c r="AV534" i="6"/>
  <c r="AW534" i="6" s="1"/>
  <c r="AX534" i="6"/>
  <c r="AY534" i="6" s="1"/>
  <c r="AV535" i="6"/>
  <c r="AW535" i="6" s="1"/>
  <c r="AX535" i="6"/>
  <c r="AY535" i="6" s="1"/>
  <c r="AV536" i="6"/>
  <c r="AW536" i="6" s="1"/>
  <c r="AX536" i="6"/>
  <c r="AY536" i="6" s="1"/>
  <c r="AV537" i="6"/>
  <c r="AW537" i="6" s="1"/>
  <c r="AX537" i="6"/>
  <c r="AY537" i="6" s="1"/>
  <c r="AV538" i="6"/>
  <c r="AW538" i="6" s="1"/>
  <c r="AX538" i="6"/>
  <c r="AY538" i="6" s="1"/>
  <c r="AV539" i="6"/>
  <c r="AW539" i="6" s="1"/>
  <c r="AX539" i="6"/>
  <c r="AY539" i="6" s="1"/>
  <c r="AV540" i="6"/>
  <c r="AW540" i="6" s="1"/>
  <c r="AX540" i="6"/>
  <c r="AY540" i="6" s="1"/>
  <c r="AV542" i="6"/>
  <c r="AW542" i="6" s="1"/>
  <c r="AX542" i="6"/>
  <c r="AY542" i="6" s="1"/>
  <c r="AV543" i="6"/>
  <c r="AW543" i="6" s="1"/>
  <c r="AX543" i="6"/>
  <c r="AY543" i="6" s="1"/>
  <c r="AV544" i="6"/>
  <c r="AW544" i="6" s="1"/>
  <c r="AX544" i="6"/>
  <c r="AY544" i="6" s="1"/>
  <c r="AV545" i="6"/>
  <c r="AW545" i="6" s="1"/>
  <c r="AX545" i="6"/>
  <c r="AY545" i="6" s="1"/>
  <c r="AV541" i="6"/>
  <c r="AW541" i="6" s="1"/>
  <c r="AX541" i="6"/>
  <c r="AY541" i="6" s="1"/>
  <c r="AV546" i="6"/>
  <c r="AW546" i="6" s="1"/>
  <c r="AX546" i="6"/>
  <c r="AY546" i="6" s="1"/>
  <c r="AV547" i="6"/>
  <c r="AW547" i="6" s="1"/>
  <c r="AX547" i="6"/>
  <c r="AY547" i="6" s="1"/>
  <c r="AV548" i="6"/>
  <c r="AW548" i="6" s="1"/>
  <c r="AX548" i="6"/>
  <c r="AY548" i="6" s="1"/>
  <c r="AV549" i="6"/>
  <c r="AW549" i="6" s="1"/>
  <c r="AX549" i="6"/>
  <c r="AY549" i="6" s="1"/>
  <c r="AV550" i="6"/>
  <c r="AW550" i="6" s="1"/>
  <c r="AX550" i="6"/>
  <c r="AY550" i="6" s="1"/>
  <c r="AV551" i="6"/>
  <c r="AW551" i="6" s="1"/>
  <c r="AX551" i="6"/>
  <c r="AY551" i="6" s="1"/>
  <c r="AV552" i="6"/>
  <c r="AW552" i="6" s="1"/>
  <c r="AX552" i="6"/>
  <c r="AY552" i="6" s="1"/>
  <c r="AV553" i="6"/>
  <c r="AW553" i="6" s="1"/>
  <c r="AX553" i="6"/>
  <c r="AY553" i="6" s="1"/>
  <c r="AV554" i="6"/>
  <c r="AW554" i="6" s="1"/>
  <c r="AX554" i="6"/>
  <c r="AY554" i="6" s="1"/>
  <c r="AV555" i="6"/>
  <c r="AW555" i="6" s="1"/>
  <c r="AX555" i="6"/>
  <c r="AY555" i="6" s="1"/>
  <c r="AV556" i="6"/>
  <c r="AW556" i="6" s="1"/>
  <c r="AX556" i="6"/>
  <c r="AY556" i="6" s="1"/>
  <c r="AV557" i="6"/>
  <c r="AW557" i="6" s="1"/>
  <c r="AX557" i="6"/>
  <c r="AY557" i="6" s="1"/>
  <c r="AV558" i="6"/>
  <c r="AW558" i="6" s="1"/>
  <c r="AX558" i="6"/>
  <c r="AY558" i="6" s="1"/>
  <c r="AV559" i="6"/>
  <c r="AW559" i="6" s="1"/>
  <c r="AX559" i="6"/>
  <c r="AY559" i="6" s="1"/>
  <c r="AV560" i="6"/>
  <c r="AW560" i="6" s="1"/>
  <c r="AX560" i="6"/>
  <c r="AY560" i="6" s="1"/>
  <c r="AV561" i="6"/>
  <c r="AW561" i="6" s="1"/>
  <c r="AX561" i="6"/>
  <c r="AY561" i="6" s="1"/>
  <c r="AV562" i="6"/>
  <c r="AW562" i="6" s="1"/>
  <c r="AX562" i="6"/>
  <c r="AY562" i="6" s="1"/>
  <c r="AV564" i="6"/>
  <c r="AW564" i="6" s="1"/>
  <c r="AX564" i="6"/>
  <c r="AY564" i="6" s="1"/>
  <c r="AV565" i="6"/>
  <c r="AW565" i="6" s="1"/>
  <c r="AX565" i="6"/>
  <c r="AY565" i="6" s="1"/>
  <c r="AV566" i="6"/>
  <c r="AW566" i="6" s="1"/>
  <c r="AX566" i="6"/>
  <c r="AY566" i="6" s="1"/>
  <c r="AV567" i="6"/>
  <c r="AW567" i="6" s="1"/>
  <c r="AX567" i="6"/>
  <c r="AY567" i="6" s="1"/>
  <c r="AV568" i="6"/>
  <c r="AW568" i="6" s="1"/>
  <c r="AX568" i="6"/>
  <c r="AY568" i="6" s="1"/>
  <c r="AV569" i="6"/>
  <c r="AW569" i="6" s="1"/>
  <c r="AX569" i="6"/>
  <c r="AY569" i="6" s="1"/>
  <c r="AV570" i="6"/>
  <c r="AW570" i="6" s="1"/>
  <c r="AX570" i="6"/>
  <c r="AY570" i="6" s="1"/>
  <c r="AV571" i="6"/>
  <c r="AW571" i="6" s="1"/>
  <c r="AX571" i="6"/>
  <c r="AY571" i="6" s="1"/>
  <c r="AV572" i="6"/>
  <c r="AW572" i="6" s="1"/>
  <c r="AX572" i="6"/>
  <c r="AY572" i="6" s="1"/>
  <c r="AV573" i="6"/>
  <c r="AW573" i="6" s="1"/>
  <c r="AX573" i="6"/>
  <c r="AY573" i="6" s="1"/>
  <c r="AV574" i="6"/>
  <c r="AW574" i="6" s="1"/>
  <c r="AX574" i="6"/>
  <c r="AY574" i="6" s="1"/>
  <c r="AV575" i="6"/>
  <c r="AW575" i="6" s="1"/>
  <c r="AX575" i="6"/>
  <c r="AY575" i="6" s="1"/>
  <c r="AV576" i="6"/>
  <c r="AW576" i="6" s="1"/>
  <c r="AX576" i="6"/>
  <c r="AY576" i="6" s="1"/>
  <c r="AV577" i="6"/>
  <c r="AW577" i="6" s="1"/>
  <c r="AX577" i="6"/>
  <c r="AY577" i="6" s="1"/>
  <c r="AV578" i="6"/>
  <c r="AW578" i="6" s="1"/>
  <c r="AX578" i="6"/>
  <c r="AY578" i="6" s="1"/>
  <c r="AV581" i="6"/>
  <c r="AW581" i="6" s="1"/>
  <c r="AX581" i="6"/>
  <c r="AY581" i="6" s="1"/>
  <c r="AV582" i="6"/>
  <c r="AW582" i="6" s="1"/>
  <c r="AX582" i="6"/>
  <c r="AY582" i="6" s="1"/>
  <c r="AV583" i="6"/>
  <c r="AW583" i="6" s="1"/>
  <c r="AX583" i="6"/>
  <c r="AY583" i="6" s="1"/>
  <c r="AV584" i="6"/>
  <c r="AW584" i="6" s="1"/>
  <c r="AX584" i="6"/>
  <c r="AY584" i="6" s="1"/>
  <c r="AV585" i="6"/>
  <c r="AW585" i="6" s="1"/>
  <c r="AX585" i="6"/>
  <c r="AY585" i="6" s="1"/>
  <c r="AV586" i="6"/>
  <c r="AW586" i="6" s="1"/>
  <c r="AX586" i="6"/>
  <c r="AY586" i="6" s="1"/>
  <c r="AV587" i="6"/>
  <c r="AW587" i="6" s="1"/>
  <c r="AX587" i="6"/>
  <c r="AY587" i="6" s="1"/>
  <c r="AV588" i="6"/>
  <c r="AW588" i="6" s="1"/>
  <c r="AX588" i="6"/>
  <c r="AY588" i="6" s="1"/>
  <c r="AV589" i="6"/>
  <c r="AW589" i="6" s="1"/>
  <c r="AX589" i="6"/>
  <c r="AY589" i="6" s="1"/>
  <c r="AV590" i="6"/>
  <c r="AW590" i="6" s="1"/>
  <c r="AX590" i="6"/>
  <c r="AY590" i="6" s="1"/>
  <c r="AV563" i="6"/>
  <c r="AW563" i="6" s="1"/>
  <c r="AX563" i="6"/>
  <c r="AY563" i="6" s="1"/>
  <c r="AV591" i="6"/>
  <c r="AW591" i="6" s="1"/>
  <c r="AX591" i="6"/>
  <c r="AY591" i="6" s="1"/>
  <c r="AV592" i="6"/>
  <c r="AW592" i="6" s="1"/>
  <c r="AX592" i="6"/>
  <c r="AY592" i="6" s="1"/>
  <c r="AV593" i="6"/>
  <c r="AW593" i="6" s="1"/>
  <c r="AX593" i="6"/>
  <c r="AY593" i="6" s="1"/>
  <c r="AV595" i="6"/>
  <c r="AW595" i="6" s="1"/>
  <c r="AX595" i="6"/>
  <c r="AY595" i="6" s="1"/>
  <c r="AV596" i="6"/>
  <c r="AW596" i="6" s="1"/>
  <c r="AX596" i="6"/>
  <c r="AY596" i="6" s="1"/>
  <c r="AV597" i="6"/>
  <c r="AW597" i="6" s="1"/>
  <c r="AX597" i="6"/>
  <c r="AY597" i="6" s="1"/>
  <c r="AV598" i="6"/>
  <c r="AW598" i="6" s="1"/>
  <c r="AX598" i="6"/>
  <c r="AY598" i="6" s="1"/>
  <c r="AV599" i="6"/>
  <c r="AW599" i="6" s="1"/>
  <c r="AX599" i="6"/>
  <c r="AY599" i="6" s="1"/>
  <c r="AV600" i="6"/>
  <c r="AW600" i="6" s="1"/>
  <c r="AX600" i="6"/>
  <c r="AY600" i="6" s="1"/>
  <c r="AV579" i="6"/>
  <c r="AW579" i="6" s="1"/>
  <c r="AX579" i="6"/>
  <c r="AY579" i="6" s="1"/>
  <c r="AV580" i="6"/>
  <c r="AW580" i="6" s="1"/>
  <c r="AX580" i="6"/>
  <c r="AY580" i="6" s="1"/>
  <c r="AV601" i="6"/>
  <c r="AW601" i="6" s="1"/>
  <c r="AX601" i="6"/>
  <c r="AY601" i="6" s="1"/>
  <c r="AV602" i="6"/>
  <c r="AW602" i="6" s="1"/>
  <c r="AX602" i="6"/>
  <c r="AY602" i="6" s="1"/>
  <c r="AV603" i="6"/>
  <c r="AW603" i="6" s="1"/>
  <c r="AX603" i="6"/>
  <c r="AY603" i="6" s="1"/>
  <c r="AV604" i="6"/>
  <c r="AW604" i="6" s="1"/>
  <c r="AX604" i="6"/>
  <c r="AY604" i="6" s="1"/>
  <c r="AV605" i="6"/>
  <c r="AW605" i="6" s="1"/>
  <c r="AX605" i="6"/>
  <c r="AY605" i="6" s="1"/>
  <c r="AV606" i="6"/>
  <c r="AW606" i="6" s="1"/>
  <c r="AX606" i="6"/>
  <c r="AY606" i="6" s="1"/>
  <c r="AV607" i="6"/>
  <c r="AW607" i="6" s="1"/>
  <c r="AX607" i="6"/>
  <c r="AY607" i="6" s="1"/>
  <c r="AV608" i="6"/>
  <c r="AW608" i="6" s="1"/>
  <c r="AX608" i="6"/>
  <c r="AY608" i="6" s="1"/>
  <c r="AV609" i="6"/>
  <c r="AW609" i="6" s="1"/>
  <c r="AX609" i="6"/>
  <c r="AY609" i="6" s="1"/>
  <c r="AV610" i="6"/>
  <c r="AW610" i="6" s="1"/>
  <c r="AX610" i="6"/>
  <c r="AY610" i="6" s="1"/>
  <c r="AV594" i="6"/>
  <c r="AW594" i="6" s="1"/>
  <c r="AX594" i="6"/>
  <c r="AY594" i="6" s="1"/>
  <c r="AV611" i="6"/>
  <c r="AW611" i="6" s="1"/>
  <c r="AX611" i="6"/>
  <c r="AY611" i="6" s="1"/>
  <c r="AV612" i="6"/>
  <c r="AW612" i="6" s="1"/>
  <c r="AX612" i="6"/>
  <c r="AY612" i="6" s="1"/>
  <c r="AV613" i="6"/>
  <c r="AW613" i="6" s="1"/>
  <c r="AX613" i="6"/>
  <c r="AY613" i="6" s="1"/>
  <c r="AV614" i="6"/>
  <c r="AW614" i="6" s="1"/>
  <c r="AX614" i="6"/>
  <c r="AY614" i="6" s="1"/>
  <c r="AV615" i="6"/>
  <c r="AW615" i="6" s="1"/>
  <c r="AX615" i="6"/>
  <c r="AY615" i="6" s="1"/>
  <c r="AV616" i="6"/>
  <c r="AW616" i="6" s="1"/>
  <c r="AX616" i="6"/>
  <c r="AY616" i="6" s="1"/>
  <c r="AV618" i="6"/>
  <c r="AW618" i="6" s="1"/>
  <c r="AX618" i="6"/>
  <c r="AY618" i="6" s="1"/>
  <c r="AV619" i="6"/>
  <c r="AW619" i="6" s="1"/>
  <c r="AX619" i="6"/>
  <c r="AY619" i="6" s="1"/>
  <c r="AV617" i="6"/>
  <c r="AW617" i="6" s="1"/>
  <c r="AX617" i="6"/>
  <c r="AY617" i="6" s="1"/>
  <c r="AV620" i="6"/>
  <c r="AW620" i="6" s="1"/>
  <c r="AX620" i="6"/>
  <c r="AY620" i="6" s="1"/>
  <c r="AV621" i="6"/>
  <c r="AW621" i="6" s="1"/>
  <c r="AX621" i="6"/>
  <c r="AY621" i="6" s="1"/>
  <c r="AV622" i="6"/>
  <c r="AW622" i="6" s="1"/>
  <c r="AX622" i="6"/>
  <c r="AY622" i="6" s="1"/>
  <c r="AV623" i="6"/>
  <c r="AW623" i="6" s="1"/>
  <c r="AX623" i="6"/>
  <c r="AY623" i="6" s="1"/>
  <c r="AV624" i="6"/>
  <c r="AW624" i="6" s="1"/>
  <c r="AX624" i="6"/>
  <c r="AY624" i="6" s="1"/>
  <c r="AV625" i="6"/>
  <c r="AW625" i="6" s="1"/>
  <c r="AX625" i="6"/>
  <c r="AY625" i="6" s="1"/>
  <c r="AV626" i="6"/>
  <c r="AW626" i="6" s="1"/>
  <c r="AX626" i="6"/>
  <c r="AY626" i="6" s="1"/>
  <c r="AV627" i="6"/>
  <c r="AW627" i="6" s="1"/>
  <c r="AX627" i="6"/>
  <c r="AY627" i="6" s="1"/>
  <c r="AV628" i="6"/>
  <c r="AW628" i="6" s="1"/>
  <c r="AX628" i="6"/>
  <c r="AY628" i="6" s="1"/>
  <c r="AV629" i="6"/>
  <c r="AW629" i="6" s="1"/>
  <c r="AX629" i="6"/>
  <c r="AY629" i="6" s="1"/>
  <c r="AV630" i="6"/>
  <c r="AW630" i="6" s="1"/>
  <c r="AX630" i="6"/>
  <c r="AY630" i="6" s="1"/>
  <c r="AV631" i="6"/>
  <c r="AW631" i="6" s="1"/>
  <c r="AX631" i="6"/>
  <c r="AY631" i="6" s="1"/>
  <c r="AV632" i="6"/>
  <c r="AW632" i="6" s="1"/>
  <c r="AX632" i="6"/>
  <c r="AY632" i="6" s="1"/>
  <c r="AV633" i="6"/>
  <c r="AW633" i="6" s="1"/>
  <c r="AX633" i="6"/>
  <c r="AY633" i="6" s="1"/>
  <c r="AV634" i="6"/>
  <c r="AW634" i="6" s="1"/>
  <c r="AX634" i="6"/>
  <c r="AY634" i="6" s="1"/>
  <c r="AV635" i="6"/>
  <c r="AW635" i="6" s="1"/>
  <c r="AX635" i="6"/>
  <c r="AY635" i="6" s="1"/>
  <c r="AV636" i="6"/>
  <c r="AW636" i="6" s="1"/>
  <c r="AX636" i="6"/>
  <c r="AY636" i="6" s="1"/>
  <c r="AV637" i="6"/>
  <c r="AW637" i="6" s="1"/>
  <c r="AX637" i="6"/>
  <c r="AY637" i="6" s="1"/>
  <c r="AV638" i="6"/>
  <c r="AW638" i="6" s="1"/>
  <c r="AX638" i="6"/>
  <c r="AY638" i="6" s="1"/>
  <c r="AV639" i="6"/>
  <c r="AW639" i="6" s="1"/>
  <c r="AX639" i="6"/>
  <c r="AY639" i="6" s="1"/>
  <c r="AV640" i="6"/>
  <c r="AW640" i="6" s="1"/>
  <c r="AX640" i="6"/>
  <c r="AY640" i="6" s="1"/>
  <c r="AV641" i="6"/>
  <c r="AW641" i="6" s="1"/>
  <c r="AX641" i="6"/>
  <c r="AY641" i="6" s="1"/>
  <c r="AV642" i="6"/>
  <c r="AW642" i="6" s="1"/>
  <c r="AX642" i="6"/>
  <c r="AY642" i="6" s="1"/>
  <c r="AV643" i="6"/>
  <c r="AW643" i="6" s="1"/>
  <c r="AX643" i="6"/>
  <c r="AY643" i="6" s="1"/>
  <c r="AV644" i="6"/>
  <c r="AW644" i="6" s="1"/>
  <c r="AX644" i="6"/>
  <c r="AY644" i="6" s="1"/>
  <c r="AV645" i="6"/>
  <c r="AW645" i="6" s="1"/>
  <c r="AX645" i="6"/>
  <c r="AY645" i="6" s="1"/>
  <c r="AV646" i="6"/>
  <c r="AW646" i="6" s="1"/>
  <c r="AX646" i="6"/>
  <c r="AY646" i="6" s="1"/>
  <c r="AV647" i="6"/>
  <c r="AW647" i="6" s="1"/>
  <c r="AX647" i="6"/>
  <c r="AY647" i="6" s="1"/>
  <c r="AV648" i="6"/>
  <c r="AW648" i="6" s="1"/>
  <c r="AX648" i="6"/>
  <c r="AY648" i="6" s="1"/>
  <c r="AV649" i="6"/>
  <c r="AW649" i="6" s="1"/>
  <c r="AX649" i="6"/>
  <c r="AY649" i="6" s="1"/>
  <c r="AV650" i="6"/>
  <c r="AW650" i="6" s="1"/>
  <c r="AX650" i="6"/>
  <c r="AY650" i="6" s="1"/>
  <c r="AV651" i="6"/>
  <c r="AW651" i="6" s="1"/>
  <c r="AX651" i="6"/>
  <c r="AY651" i="6" s="1"/>
  <c r="AV652" i="6"/>
  <c r="AW652" i="6" s="1"/>
  <c r="AX652" i="6"/>
  <c r="AY652" i="6" s="1"/>
  <c r="AV653" i="6"/>
  <c r="AW653" i="6" s="1"/>
  <c r="AX653" i="6"/>
  <c r="AY653" i="6" s="1"/>
  <c r="AV655" i="6"/>
  <c r="AW655" i="6" s="1"/>
  <c r="AX655" i="6"/>
  <c r="AY655" i="6" s="1"/>
  <c r="AV656" i="6"/>
  <c r="AW656" i="6" s="1"/>
  <c r="AX656" i="6"/>
  <c r="AY656" i="6" s="1"/>
  <c r="AV657" i="6"/>
  <c r="AW657" i="6" s="1"/>
  <c r="AX657" i="6"/>
  <c r="AY657" i="6" s="1"/>
  <c r="AV658" i="6"/>
  <c r="AW658" i="6" s="1"/>
  <c r="AX658" i="6"/>
  <c r="AY658" i="6" s="1"/>
  <c r="AV660" i="6"/>
  <c r="AW660" i="6" s="1"/>
  <c r="AX660" i="6"/>
  <c r="AY660" i="6" s="1"/>
  <c r="AV661" i="6"/>
  <c r="AW661" i="6" s="1"/>
  <c r="AX661" i="6"/>
  <c r="AY661" i="6" s="1"/>
  <c r="AV662" i="6"/>
  <c r="AW662" i="6" s="1"/>
  <c r="AX662" i="6"/>
  <c r="AY662" i="6" s="1"/>
  <c r="AV654" i="6"/>
  <c r="AW654" i="6" s="1"/>
  <c r="AX654" i="6"/>
  <c r="AY654" i="6" s="1"/>
  <c r="AV663" i="6"/>
  <c r="AW663" i="6" s="1"/>
  <c r="AX663" i="6"/>
  <c r="AY663" i="6" s="1"/>
  <c r="AV664" i="6"/>
  <c r="AW664" i="6" s="1"/>
  <c r="AX664" i="6"/>
  <c r="AY664" i="6" s="1"/>
  <c r="AV665" i="6"/>
  <c r="AW665" i="6" s="1"/>
  <c r="AX665" i="6"/>
  <c r="AY665" i="6" s="1"/>
  <c r="AV666" i="6"/>
  <c r="AW666" i="6" s="1"/>
  <c r="AX666" i="6"/>
  <c r="AY666" i="6" s="1"/>
  <c r="AV659" i="6"/>
  <c r="AW659" i="6" s="1"/>
  <c r="AX659" i="6"/>
  <c r="AY659" i="6" s="1"/>
  <c r="AV670" i="6"/>
  <c r="AW670" i="6" s="1"/>
  <c r="AX670" i="6"/>
  <c r="AY670" i="6" s="1"/>
  <c r="AV671" i="6"/>
  <c r="AW671" i="6" s="1"/>
  <c r="AX671" i="6"/>
  <c r="AY671" i="6" s="1"/>
  <c r="AV672" i="6"/>
  <c r="AW672" i="6" s="1"/>
  <c r="AX672" i="6"/>
  <c r="AY672" i="6" s="1"/>
  <c r="AV673" i="6"/>
  <c r="AW673" i="6" s="1"/>
  <c r="AX673" i="6"/>
  <c r="AY673" i="6" s="1"/>
  <c r="AV674" i="6"/>
  <c r="AW674" i="6" s="1"/>
  <c r="AX674" i="6"/>
  <c r="AY674" i="6" s="1"/>
  <c r="AV675" i="6"/>
  <c r="AW675" i="6" s="1"/>
  <c r="AX675" i="6"/>
  <c r="AY675" i="6" s="1"/>
  <c r="AV676" i="6"/>
  <c r="AW676" i="6" s="1"/>
  <c r="AX676" i="6"/>
  <c r="AY676" i="6" s="1"/>
  <c r="AV677" i="6"/>
  <c r="AW677" i="6" s="1"/>
  <c r="AX677" i="6"/>
  <c r="AY677" i="6" s="1"/>
  <c r="AV678" i="6"/>
  <c r="AW678" i="6" s="1"/>
  <c r="AX678" i="6"/>
  <c r="AY678" i="6" s="1"/>
  <c r="AV679" i="6"/>
  <c r="AW679" i="6" s="1"/>
  <c r="AX679" i="6"/>
  <c r="AY679" i="6" s="1"/>
  <c r="AV680" i="6"/>
  <c r="AW680" i="6" s="1"/>
  <c r="AX680" i="6"/>
  <c r="AY680" i="6" s="1"/>
  <c r="AV681" i="6"/>
  <c r="AW681" i="6" s="1"/>
  <c r="AX681" i="6"/>
  <c r="AY681" i="6" s="1"/>
  <c r="AV682" i="6"/>
  <c r="AW682" i="6" s="1"/>
  <c r="AX682" i="6"/>
  <c r="AY682" i="6" s="1"/>
  <c r="AV683" i="6"/>
  <c r="AW683" i="6" s="1"/>
  <c r="AX683" i="6"/>
  <c r="AY683" i="6" s="1"/>
  <c r="AV685" i="6"/>
  <c r="AW685" i="6" s="1"/>
  <c r="AX685" i="6"/>
  <c r="AY685" i="6" s="1"/>
  <c r="AV686" i="6"/>
  <c r="AW686" i="6" s="1"/>
  <c r="AX686" i="6"/>
  <c r="AY686" i="6" s="1"/>
  <c r="AV687" i="6"/>
  <c r="AW687" i="6" s="1"/>
  <c r="AX687" i="6"/>
  <c r="AY687" i="6" s="1"/>
  <c r="AV688" i="6"/>
  <c r="AW688" i="6" s="1"/>
  <c r="AX688" i="6"/>
  <c r="AY688" i="6" s="1"/>
  <c r="AV689" i="6"/>
  <c r="AW689" i="6" s="1"/>
  <c r="AX689" i="6"/>
  <c r="AY689" i="6" s="1"/>
  <c r="AV690" i="6"/>
  <c r="AW690" i="6" s="1"/>
  <c r="AX690" i="6"/>
  <c r="AY690" i="6" s="1"/>
  <c r="AV691" i="6"/>
  <c r="AW691" i="6" s="1"/>
  <c r="AX691" i="6"/>
  <c r="AY691" i="6" s="1"/>
  <c r="AV692" i="6"/>
  <c r="AW692" i="6" s="1"/>
  <c r="AX692" i="6"/>
  <c r="AY692" i="6" s="1"/>
  <c r="AV684" i="6"/>
  <c r="AW684" i="6" s="1"/>
  <c r="AX684" i="6"/>
  <c r="AY684" i="6" s="1"/>
  <c r="AV94" i="6"/>
  <c r="AW94" i="6" s="1"/>
  <c r="AX94" i="6"/>
  <c r="AY94" i="6" s="1"/>
  <c r="AV95" i="6"/>
  <c r="AW95" i="6" s="1"/>
  <c r="AX95" i="6"/>
  <c r="AY95" i="6" s="1"/>
  <c r="AV96" i="6"/>
  <c r="AW96" i="6" s="1"/>
  <c r="AX96" i="6"/>
  <c r="AY96" i="6" s="1"/>
  <c r="AV99" i="6"/>
  <c r="AW99" i="6" s="1"/>
  <c r="AX99" i="6"/>
  <c r="AY99" i="6" s="1"/>
  <c r="AL7" i="6"/>
  <c r="AM7" i="6"/>
  <c r="AL8" i="6"/>
  <c r="AM8" i="6"/>
  <c r="AL9" i="6"/>
  <c r="AM9" i="6"/>
  <c r="AL10" i="6"/>
  <c r="AM10" i="6"/>
  <c r="AL11" i="6"/>
  <c r="AM11" i="6"/>
  <c r="AL12" i="6"/>
  <c r="AM12" i="6"/>
  <c r="AL13" i="6"/>
  <c r="AM13" i="6"/>
  <c r="AL14" i="6"/>
  <c r="AM14" i="6"/>
  <c r="AL15" i="6"/>
  <c r="AM15" i="6"/>
  <c r="AL16" i="6"/>
  <c r="AM16" i="6"/>
  <c r="AL17" i="6"/>
  <c r="AM17" i="6"/>
  <c r="AL18" i="6"/>
  <c r="AM18" i="6"/>
  <c r="AL19" i="6"/>
  <c r="AM19" i="6"/>
  <c r="AL20" i="6"/>
  <c r="AM20" i="6"/>
  <c r="AL22" i="6"/>
  <c r="AM22" i="6"/>
  <c r="AL23" i="6"/>
  <c r="AM23" i="6"/>
  <c r="AL25" i="6"/>
  <c r="AM25" i="6"/>
  <c r="AL26" i="6"/>
  <c r="AM26" i="6"/>
  <c r="AL21" i="6"/>
  <c r="AM21" i="6"/>
  <c r="AL29" i="6"/>
  <c r="AM29" i="6"/>
  <c r="AL30" i="6"/>
  <c r="AM30" i="6"/>
  <c r="AL31" i="6"/>
  <c r="AM31" i="6"/>
  <c r="AL32" i="6"/>
  <c r="AM32" i="6"/>
  <c r="AL33" i="6"/>
  <c r="AM33" i="6"/>
  <c r="AL34" i="6"/>
  <c r="AM34" i="6"/>
  <c r="AL35" i="6"/>
  <c r="AM35" i="6"/>
  <c r="AL24" i="6"/>
  <c r="AM24" i="6"/>
  <c r="AL36" i="6"/>
  <c r="AM36" i="6"/>
  <c r="AL27" i="6"/>
  <c r="AM27" i="6"/>
  <c r="AL37" i="6"/>
  <c r="AM37" i="6"/>
  <c r="AL28" i="6"/>
  <c r="AM28" i="6"/>
  <c r="AL38" i="6"/>
  <c r="AM38" i="6"/>
  <c r="AL39" i="6"/>
  <c r="AM39" i="6"/>
  <c r="AL40" i="6"/>
  <c r="AM40" i="6"/>
  <c r="AL41" i="6"/>
  <c r="AM41" i="6"/>
  <c r="AL42" i="6"/>
  <c r="AM42" i="6"/>
  <c r="AL43" i="6"/>
  <c r="AM43" i="6"/>
  <c r="AL44" i="6"/>
  <c r="AM44" i="6"/>
  <c r="AL45" i="6"/>
  <c r="AM45" i="6"/>
  <c r="AL46" i="6"/>
  <c r="AM46" i="6"/>
  <c r="AL47" i="6"/>
  <c r="AM47" i="6"/>
  <c r="AL48" i="6"/>
  <c r="AM48" i="6"/>
  <c r="AL49" i="6"/>
  <c r="AM49" i="6"/>
  <c r="AL50" i="6"/>
  <c r="AM50" i="6"/>
  <c r="AL51" i="6"/>
  <c r="AM51" i="6"/>
  <c r="AL52" i="6"/>
  <c r="AM52" i="6"/>
  <c r="AL53" i="6"/>
  <c r="AM53" i="6"/>
  <c r="AL54" i="6"/>
  <c r="AM54" i="6"/>
  <c r="AL55" i="6"/>
  <c r="AM55" i="6"/>
  <c r="AL57" i="6"/>
  <c r="AM57" i="6"/>
  <c r="AL58" i="6"/>
  <c r="AM58" i="6"/>
  <c r="AL59" i="6"/>
  <c r="AM59" i="6"/>
  <c r="AL56" i="6"/>
  <c r="AM56" i="6"/>
  <c r="AL60" i="6"/>
  <c r="AM60" i="6"/>
  <c r="AL61" i="6"/>
  <c r="AM61" i="6"/>
  <c r="AL62" i="6"/>
  <c r="AM62" i="6"/>
  <c r="AL63" i="6"/>
  <c r="AM63" i="6"/>
  <c r="AL65" i="6"/>
  <c r="AM65" i="6"/>
  <c r="AL66" i="6"/>
  <c r="AM66" i="6"/>
  <c r="AL67" i="6"/>
  <c r="AM67" i="6"/>
  <c r="AL68" i="6"/>
  <c r="AM68" i="6"/>
  <c r="AL64" i="6"/>
  <c r="AM64" i="6"/>
  <c r="AL69" i="6"/>
  <c r="AM69" i="6"/>
  <c r="AL70" i="6"/>
  <c r="AM70" i="6"/>
  <c r="AL71" i="6"/>
  <c r="AM71" i="6"/>
  <c r="AL72" i="6"/>
  <c r="AM72" i="6"/>
  <c r="AL73" i="6"/>
  <c r="AM73" i="6"/>
  <c r="AL74" i="6"/>
  <c r="AM74" i="6"/>
  <c r="AL75" i="6"/>
  <c r="AM75" i="6"/>
  <c r="AL76" i="6"/>
  <c r="AM76" i="6"/>
  <c r="AL77" i="6"/>
  <c r="AM77" i="6"/>
  <c r="AL78" i="6"/>
  <c r="AM78" i="6"/>
  <c r="AL79" i="6"/>
  <c r="AM79" i="6"/>
  <c r="AL81" i="6"/>
  <c r="AM81" i="6"/>
  <c r="AL80" i="6"/>
  <c r="AM80" i="6"/>
  <c r="AL82" i="6"/>
  <c r="AM82" i="6"/>
  <c r="AL83" i="6"/>
  <c r="AM83" i="6"/>
  <c r="AL84" i="6"/>
  <c r="AM84" i="6"/>
  <c r="AL85" i="6"/>
  <c r="AM85" i="6"/>
  <c r="AL86" i="6"/>
  <c r="AM86" i="6"/>
  <c r="AL87" i="6"/>
  <c r="AM87" i="6"/>
  <c r="AL88" i="6"/>
  <c r="AM88" i="6"/>
  <c r="AL89" i="6"/>
  <c r="AM89" i="6"/>
  <c r="AL90" i="6"/>
  <c r="AM90" i="6"/>
  <c r="AL91" i="6"/>
  <c r="AM91" i="6"/>
  <c r="AL92" i="6"/>
  <c r="AM92" i="6"/>
  <c r="AL93" i="6"/>
  <c r="AM93" i="6"/>
  <c r="AL122" i="6"/>
  <c r="AM122" i="6"/>
  <c r="AL123" i="6"/>
  <c r="AM123" i="6"/>
  <c r="AL124" i="6"/>
  <c r="AM124" i="6"/>
  <c r="AL125" i="6"/>
  <c r="AM125" i="6"/>
  <c r="AL126" i="6"/>
  <c r="AM126" i="6"/>
  <c r="AL127" i="6"/>
  <c r="AM127" i="6"/>
  <c r="AL128" i="6"/>
  <c r="AM128" i="6"/>
  <c r="AL129" i="6"/>
  <c r="AM129" i="6"/>
  <c r="AL130" i="6"/>
  <c r="AM130" i="6"/>
  <c r="AL131" i="6"/>
  <c r="AM131" i="6"/>
  <c r="AL132" i="6"/>
  <c r="AM132" i="6"/>
  <c r="AL133" i="6"/>
  <c r="AM133" i="6"/>
  <c r="AL135" i="6"/>
  <c r="AM135" i="6"/>
  <c r="AL136" i="6"/>
  <c r="AM136" i="6"/>
  <c r="AL137" i="6"/>
  <c r="AM137" i="6"/>
  <c r="AL138" i="6"/>
  <c r="AM138" i="6"/>
  <c r="AL134" i="6"/>
  <c r="AM134" i="6"/>
  <c r="AL140" i="6"/>
  <c r="AM140" i="6"/>
  <c r="AL141" i="6"/>
  <c r="AM141" i="6"/>
  <c r="AL142" i="6"/>
  <c r="AM142" i="6"/>
  <c r="AL144" i="6"/>
  <c r="AM144" i="6"/>
  <c r="AL145" i="6"/>
  <c r="AM145" i="6"/>
  <c r="AL147" i="6"/>
  <c r="AM147" i="6"/>
  <c r="AL148" i="6"/>
  <c r="AM148" i="6"/>
  <c r="AL149" i="6"/>
  <c r="AM149" i="6"/>
  <c r="AL151" i="6"/>
  <c r="AM151" i="6"/>
  <c r="AL143" i="6"/>
  <c r="AM143" i="6"/>
  <c r="AL152" i="6"/>
  <c r="AM152" i="6"/>
  <c r="AL146" i="6"/>
  <c r="AM146" i="6"/>
  <c r="AL150" i="6"/>
  <c r="AM150" i="6"/>
  <c r="AL153" i="6"/>
  <c r="AM153" i="6"/>
  <c r="AL154" i="6"/>
  <c r="AM154" i="6"/>
  <c r="AL139" i="6"/>
  <c r="AM139" i="6"/>
  <c r="AL155" i="6"/>
  <c r="AM155" i="6"/>
  <c r="AL156" i="6"/>
  <c r="AM156" i="6"/>
  <c r="AL157" i="6"/>
  <c r="AM157" i="6"/>
  <c r="AL158" i="6"/>
  <c r="AM158" i="6"/>
  <c r="AL159" i="6"/>
  <c r="AM159" i="6"/>
  <c r="AL160" i="6"/>
  <c r="AM160" i="6"/>
  <c r="AL161" i="6"/>
  <c r="AM161" i="6"/>
  <c r="AL162" i="6"/>
  <c r="AM162" i="6"/>
  <c r="AL163" i="6"/>
  <c r="AM163" i="6"/>
  <c r="AL164" i="6"/>
  <c r="AM164" i="6"/>
  <c r="AL165" i="6"/>
  <c r="AM165" i="6"/>
  <c r="AL166" i="6"/>
  <c r="AM166" i="6"/>
  <c r="AL167" i="6"/>
  <c r="AM167" i="6"/>
  <c r="AL168" i="6"/>
  <c r="AM168" i="6"/>
  <c r="AL169" i="6"/>
  <c r="AM169" i="6"/>
  <c r="AL170" i="6"/>
  <c r="AM170" i="6"/>
  <c r="AL171" i="6"/>
  <c r="AM171" i="6"/>
  <c r="AL172" i="6"/>
  <c r="AM172" i="6"/>
  <c r="AL173" i="6"/>
  <c r="AM173" i="6"/>
  <c r="AL174" i="6"/>
  <c r="AM174" i="6"/>
  <c r="AL175" i="6"/>
  <c r="AM175" i="6"/>
  <c r="AL176" i="6"/>
  <c r="AM176" i="6"/>
  <c r="AL177" i="6"/>
  <c r="AM177" i="6"/>
  <c r="AL178" i="6"/>
  <c r="AM178" i="6"/>
  <c r="AL179" i="6"/>
  <c r="AM179" i="6"/>
  <c r="AL180" i="6"/>
  <c r="AM180" i="6"/>
  <c r="AL181" i="6"/>
  <c r="AM181" i="6"/>
  <c r="AL182" i="6"/>
  <c r="AM182" i="6"/>
  <c r="AL183" i="6"/>
  <c r="AM183" i="6"/>
  <c r="AL184" i="6"/>
  <c r="AM184" i="6"/>
  <c r="AL185" i="6"/>
  <c r="AM185" i="6"/>
  <c r="AL186" i="6"/>
  <c r="AM186" i="6"/>
  <c r="AL187" i="6"/>
  <c r="AM187" i="6"/>
  <c r="AL188" i="6"/>
  <c r="AM188" i="6"/>
  <c r="AL189" i="6"/>
  <c r="AM189" i="6"/>
  <c r="AL190" i="6"/>
  <c r="AM190" i="6"/>
  <c r="AL191" i="6"/>
  <c r="AM191" i="6"/>
  <c r="AL192" i="6"/>
  <c r="AM192" i="6"/>
  <c r="AL194" i="6"/>
  <c r="AM194" i="6"/>
  <c r="AL195" i="6"/>
  <c r="AM195" i="6"/>
  <c r="AL196" i="6"/>
  <c r="AM196" i="6"/>
  <c r="AL197" i="6"/>
  <c r="AM197" i="6"/>
  <c r="AL198" i="6"/>
  <c r="AM198" i="6"/>
  <c r="AL199" i="6"/>
  <c r="AM199" i="6"/>
  <c r="AL200" i="6"/>
  <c r="AM200" i="6"/>
  <c r="AL201" i="6"/>
  <c r="AM201" i="6"/>
  <c r="AL193" i="6"/>
  <c r="AM193" i="6"/>
  <c r="AL202" i="6"/>
  <c r="AM202" i="6"/>
  <c r="AL203" i="6"/>
  <c r="AM203" i="6"/>
  <c r="AL204" i="6"/>
  <c r="AM204" i="6"/>
  <c r="AL205" i="6"/>
  <c r="AM205" i="6"/>
  <c r="AL206" i="6"/>
  <c r="AM206" i="6"/>
  <c r="AL207" i="6"/>
  <c r="AM207" i="6"/>
  <c r="AL208" i="6"/>
  <c r="AM208" i="6"/>
  <c r="AL209" i="6"/>
  <c r="AM209" i="6"/>
  <c r="AL210" i="6"/>
  <c r="AM210" i="6"/>
  <c r="AL211" i="6"/>
  <c r="AM211" i="6"/>
  <c r="AL212" i="6"/>
  <c r="AM212" i="6"/>
  <c r="AL213" i="6"/>
  <c r="AM213" i="6"/>
  <c r="AL214" i="6"/>
  <c r="AM214" i="6"/>
  <c r="AL215" i="6"/>
  <c r="AM215" i="6"/>
  <c r="AL216" i="6"/>
  <c r="AM216" i="6"/>
  <c r="AL217" i="6"/>
  <c r="AM217" i="6"/>
  <c r="AL218" i="6"/>
  <c r="AM218" i="6"/>
  <c r="AL219" i="6"/>
  <c r="AM219" i="6"/>
  <c r="AL220" i="6"/>
  <c r="AM220" i="6"/>
  <c r="AL221" i="6"/>
  <c r="AM221" i="6"/>
  <c r="AL222" i="6"/>
  <c r="AM222" i="6"/>
  <c r="AL223" i="6"/>
  <c r="AM223" i="6"/>
  <c r="AL224" i="6"/>
  <c r="AM224" i="6"/>
  <c r="AL225" i="6"/>
  <c r="AM225" i="6"/>
  <c r="AL226" i="6"/>
  <c r="AM226" i="6"/>
  <c r="AL227" i="6"/>
  <c r="AM227" i="6"/>
  <c r="AL228" i="6"/>
  <c r="AM228" i="6"/>
  <c r="AL229" i="6"/>
  <c r="AM229" i="6"/>
  <c r="AL231" i="6"/>
  <c r="AM231" i="6"/>
  <c r="AL232" i="6"/>
  <c r="AM232" i="6"/>
  <c r="AL233" i="6"/>
  <c r="AM233" i="6"/>
  <c r="AL234" i="6"/>
  <c r="AM234" i="6"/>
  <c r="AL235" i="6"/>
  <c r="AM235" i="6"/>
  <c r="AL230" i="6"/>
  <c r="AM230" i="6"/>
  <c r="AL236" i="6"/>
  <c r="AM236" i="6"/>
  <c r="AL238" i="6"/>
  <c r="AM238" i="6"/>
  <c r="AL237" i="6"/>
  <c r="AM237" i="6"/>
  <c r="AL239" i="6"/>
  <c r="AM239" i="6"/>
  <c r="AL240" i="6"/>
  <c r="AM240" i="6"/>
  <c r="AL241" i="6"/>
  <c r="AM241" i="6"/>
  <c r="AL242" i="6"/>
  <c r="AM242" i="6"/>
  <c r="AL243" i="6"/>
  <c r="AM243" i="6"/>
  <c r="AL244" i="6"/>
  <c r="AM244" i="6"/>
  <c r="AL245" i="6"/>
  <c r="AM245" i="6"/>
  <c r="AL246" i="6"/>
  <c r="AM246" i="6"/>
  <c r="AL247" i="6"/>
  <c r="AM247" i="6"/>
  <c r="AL249" i="6"/>
  <c r="AM249" i="6"/>
  <c r="AL251" i="6"/>
  <c r="AM251" i="6"/>
  <c r="AL252" i="6"/>
  <c r="AM252" i="6"/>
  <c r="AL253" i="6"/>
  <c r="AM253" i="6"/>
  <c r="AL254" i="6"/>
  <c r="AM254" i="6"/>
  <c r="AL255" i="6"/>
  <c r="AM255" i="6"/>
  <c r="AL248" i="6"/>
  <c r="AM248" i="6"/>
  <c r="AL256" i="6"/>
  <c r="AM256" i="6"/>
  <c r="AL257" i="6"/>
  <c r="AM257" i="6"/>
  <c r="AL258" i="6"/>
  <c r="AM258" i="6"/>
  <c r="AL250" i="6"/>
  <c r="AM250" i="6"/>
  <c r="AL259" i="6"/>
  <c r="AM259" i="6"/>
  <c r="AL260" i="6"/>
  <c r="AM260" i="6"/>
  <c r="AL261" i="6"/>
  <c r="AM261" i="6"/>
  <c r="AL262" i="6"/>
  <c r="AM262" i="6"/>
  <c r="AL263" i="6"/>
  <c r="AM263" i="6"/>
  <c r="AL264" i="6"/>
  <c r="AM264" i="6"/>
  <c r="AL265" i="6"/>
  <c r="AM265" i="6"/>
  <c r="AL266" i="6"/>
  <c r="AM266" i="6"/>
  <c r="AL267" i="6"/>
  <c r="AM267" i="6"/>
  <c r="AL268" i="6"/>
  <c r="AM268" i="6"/>
  <c r="AL269" i="6"/>
  <c r="AM269" i="6"/>
  <c r="AL270" i="6"/>
  <c r="AM270" i="6"/>
  <c r="AL271" i="6"/>
  <c r="AM271" i="6"/>
  <c r="AL272" i="6"/>
  <c r="AM272" i="6"/>
  <c r="AL273" i="6"/>
  <c r="AM273" i="6"/>
  <c r="AL274" i="6"/>
  <c r="AM274" i="6"/>
  <c r="AL275" i="6"/>
  <c r="AM275" i="6"/>
  <c r="AL276" i="6"/>
  <c r="AM276" i="6"/>
  <c r="AL277" i="6"/>
  <c r="AM277" i="6"/>
  <c r="AL278" i="6"/>
  <c r="AM278" i="6"/>
  <c r="AL279" i="6"/>
  <c r="AM279" i="6"/>
  <c r="AL280" i="6"/>
  <c r="AM280" i="6"/>
  <c r="AL281" i="6"/>
  <c r="AM281" i="6"/>
  <c r="AL282" i="6"/>
  <c r="AM282" i="6"/>
  <c r="AL283" i="6"/>
  <c r="AM283" i="6"/>
  <c r="AL284" i="6"/>
  <c r="AM284" i="6"/>
  <c r="AL285" i="6"/>
  <c r="AM285" i="6"/>
  <c r="AL286" i="6"/>
  <c r="AM286" i="6"/>
  <c r="AL287" i="6"/>
  <c r="AM287" i="6"/>
  <c r="AL289" i="6"/>
  <c r="AM289" i="6"/>
  <c r="AL288" i="6"/>
  <c r="AM288" i="6"/>
  <c r="AL290" i="6"/>
  <c r="AM290" i="6"/>
  <c r="AL291" i="6"/>
  <c r="AM291" i="6"/>
  <c r="AL292" i="6"/>
  <c r="AM292" i="6"/>
  <c r="AL293" i="6"/>
  <c r="AM293" i="6"/>
  <c r="AL294" i="6"/>
  <c r="AM294" i="6"/>
  <c r="AL295" i="6"/>
  <c r="AM295" i="6"/>
  <c r="AL296" i="6"/>
  <c r="AM296" i="6"/>
  <c r="AL297" i="6"/>
  <c r="AM297" i="6"/>
  <c r="AL298" i="6"/>
  <c r="AM298" i="6"/>
  <c r="AL299" i="6"/>
  <c r="AM299" i="6"/>
  <c r="AL300" i="6"/>
  <c r="AM300" i="6"/>
  <c r="AL301" i="6"/>
  <c r="AM301" i="6"/>
  <c r="AL302" i="6"/>
  <c r="AM302" i="6"/>
  <c r="AL303" i="6"/>
  <c r="AM303" i="6"/>
  <c r="AL304" i="6"/>
  <c r="AM304" i="6"/>
  <c r="AL305" i="6"/>
  <c r="AM305" i="6"/>
  <c r="AL306" i="6"/>
  <c r="AM306" i="6"/>
  <c r="AL307" i="6"/>
  <c r="AM307" i="6"/>
  <c r="AL308" i="6"/>
  <c r="AM308" i="6"/>
  <c r="AL309" i="6"/>
  <c r="AM309" i="6"/>
  <c r="AL310" i="6"/>
  <c r="AM310" i="6"/>
  <c r="AL311" i="6"/>
  <c r="AM311" i="6"/>
  <c r="AL312" i="6"/>
  <c r="AM312" i="6"/>
  <c r="AL313" i="6"/>
  <c r="AM313" i="6"/>
  <c r="AL314" i="6"/>
  <c r="AM314" i="6"/>
  <c r="AL315" i="6"/>
  <c r="AM315" i="6"/>
  <c r="AL316" i="6"/>
  <c r="AM316" i="6"/>
  <c r="AL317" i="6"/>
  <c r="AM317" i="6"/>
  <c r="AL318" i="6"/>
  <c r="AM318" i="6"/>
  <c r="AL319" i="6"/>
  <c r="AM319" i="6"/>
  <c r="AL320" i="6"/>
  <c r="AM320" i="6"/>
  <c r="AL321" i="6"/>
  <c r="AM321" i="6"/>
  <c r="AL322" i="6"/>
  <c r="AM322" i="6"/>
  <c r="AL323" i="6"/>
  <c r="AM323" i="6"/>
  <c r="AL324" i="6"/>
  <c r="AM324" i="6"/>
  <c r="AL325" i="6"/>
  <c r="AM325" i="6"/>
  <c r="AL326" i="6"/>
  <c r="AM326" i="6"/>
  <c r="AL327" i="6"/>
  <c r="AM327" i="6"/>
  <c r="AL328" i="6"/>
  <c r="AM328" i="6"/>
  <c r="AL329" i="6"/>
  <c r="AM329" i="6"/>
  <c r="AL330" i="6"/>
  <c r="AM330" i="6"/>
  <c r="AL331" i="6"/>
  <c r="AM331" i="6"/>
  <c r="AL332" i="6"/>
  <c r="AM332" i="6"/>
  <c r="AL333" i="6"/>
  <c r="AM333" i="6"/>
  <c r="AL334" i="6"/>
  <c r="AM334" i="6"/>
  <c r="AL335" i="6"/>
  <c r="AM335" i="6"/>
  <c r="AL336" i="6"/>
  <c r="AM336" i="6"/>
  <c r="AL337" i="6"/>
  <c r="AM337" i="6"/>
  <c r="AL338" i="6"/>
  <c r="AM338" i="6"/>
  <c r="AL339" i="6"/>
  <c r="AM339" i="6"/>
  <c r="AL340" i="6"/>
  <c r="AM340" i="6"/>
  <c r="AL341" i="6"/>
  <c r="AM341" i="6"/>
  <c r="AL342" i="6"/>
  <c r="AM342" i="6"/>
  <c r="AL343" i="6"/>
  <c r="AM343" i="6"/>
  <c r="AL344" i="6"/>
  <c r="AM344" i="6"/>
  <c r="AL345" i="6"/>
  <c r="AM345" i="6"/>
  <c r="AL346" i="6"/>
  <c r="AM346" i="6"/>
  <c r="AL347" i="6"/>
  <c r="AM347" i="6"/>
  <c r="AL348" i="6"/>
  <c r="AM348" i="6"/>
  <c r="AL349" i="6"/>
  <c r="AM349" i="6"/>
  <c r="AL350" i="6"/>
  <c r="AM350" i="6"/>
  <c r="AL351" i="6"/>
  <c r="AM351" i="6"/>
  <c r="AL352" i="6"/>
  <c r="AM352" i="6"/>
  <c r="AL353" i="6"/>
  <c r="AM353" i="6"/>
  <c r="AL354" i="6"/>
  <c r="AM354" i="6"/>
  <c r="AL355" i="6"/>
  <c r="AM355" i="6"/>
  <c r="AL356" i="6"/>
  <c r="AM356" i="6"/>
  <c r="AL357" i="6"/>
  <c r="AM357" i="6"/>
  <c r="AL358" i="6"/>
  <c r="AM358" i="6"/>
  <c r="AL359" i="6"/>
  <c r="AM359" i="6"/>
  <c r="AL360" i="6"/>
  <c r="AM360" i="6"/>
  <c r="AL361" i="6"/>
  <c r="AM361" i="6"/>
  <c r="AL362" i="6"/>
  <c r="AM362" i="6"/>
  <c r="AL363" i="6"/>
  <c r="AM363" i="6"/>
  <c r="AL364" i="6"/>
  <c r="AM364" i="6"/>
  <c r="AL365" i="6"/>
  <c r="AM365" i="6"/>
  <c r="AL366" i="6"/>
  <c r="AM366" i="6"/>
  <c r="AL367" i="6"/>
  <c r="AM367" i="6"/>
  <c r="AL368" i="6"/>
  <c r="AM368" i="6"/>
  <c r="AL369" i="6"/>
  <c r="AM369" i="6"/>
  <c r="AL370" i="6"/>
  <c r="AM370" i="6"/>
  <c r="AL371" i="6"/>
  <c r="AM371" i="6"/>
  <c r="AL372" i="6"/>
  <c r="AM372" i="6"/>
  <c r="AL374" i="6"/>
  <c r="AM374" i="6"/>
  <c r="AL376" i="6"/>
  <c r="AM376" i="6"/>
  <c r="AL377" i="6"/>
  <c r="AM377" i="6"/>
  <c r="AL373" i="6"/>
  <c r="AM373" i="6"/>
  <c r="AL375" i="6"/>
  <c r="AM375" i="6"/>
  <c r="AL378" i="6"/>
  <c r="AM378" i="6"/>
  <c r="AL379" i="6"/>
  <c r="AM379" i="6"/>
  <c r="AL380" i="6"/>
  <c r="AM380" i="6"/>
  <c r="AL381" i="6"/>
  <c r="AM381" i="6"/>
  <c r="AL382" i="6"/>
  <c r="AM382" i="6"/>
  <c r="AL383" i="6"/>
  <c r="AM383" i="6"/>
  <c r="AL384" i="6"/>
  <c r="AM384" i="6"/>
  <c r="AL385" i="6"/>
  <c r="AM385" i="6"/>
  <c r="AL386" i="6"/>
  <c r="AM386" i="6"/>
  <c r="AL387" i="6"/>
  <c r="AM387" i="6"/>
  <c r="AL395" i="6"/>
  <c r="AM395" i="6"/>
  <c r="AL388" i="6"/>
  <c r="AM388" i="6"/>
  <c r="AL428" i="6"/>
  <c r="AM428" i="6"/>
  <c r="AL389" i="6"/>
  <c r="AM389" i="6"/>
  <c r="AL390" i="6"/>
  <c r="AM390" i="6"/>
  <c r="AL391" i="6"/>
  <c r="AM391" i="6"/>
  <c r="AL392" i="6"/>
  <c r="AM392" i="6"/>
  <c r="AL393" i="6"/>
  <c r="AM393" i="6"/>
  <c r="AL394" i="6"/>
  <c r="AM394" i="6"/>
  <c r="AL396" i="6"/>
  <c r="AM396" i="6"/>
  <c r="AL397" i="6"/>
  <c r="AM397" i="6"/>
  <c r="AL398" i="6"/>
  <c r="AM398" i="6"/>
  <c r="AL399" i="6"/>
  <c r="AM399" i="6"/>
  <c r="AL400" i="6"/>
  <c r="AM400" i="6"/>
  <c r="AL401" i="6"/>
  <c r="AM401" i="6"/>
  <c r="AL402" i="6"/>
  <c r="AM402" i="6"/>
  <c r="AL403" i="6"/>
  <c r="AM403" i="6"/>
  <c r="AL404" i="6"/>
  <c r="AM404" i="6"/>
  <c r="AL405" i="6"/>
  <c r="AM405" i="6"/>
  <c r="AL406" i="6"/>
  <c r="AM406" i="6"/>
  <c r="AL407" i="6"/>
  <c r="AM407" i="6"/>
  <c r="AL408" i="6"/>
  <c r="AM408" i="6"/>
  <c r="AL409" i="6"/>
  <c r="AM409" i="6"/>
  <c r="AL410" i="6"/>
  <c r="AM410" i="6"/>
  <c r="AL411" i="6"/>
  <c r="AM411" i="6"/>
  <c r="AL412" i="6"/>
  <c r="AM412" i="6"/>
  <c r="AL413" i="6"/>
  <c r="AM413" i="6"/>
  <c r="AL414" i="6"/>
  <c r="AM414" i="6"/>
  <c r="AL415" i="6"/>
  <c r="AM415" i="6"/>
  <c r="AL417" i="6"/>
  <c r="AM417" i="6"/>
  <c r="AL418" i="6"/>
  <c r="AM418" i="6"/>
  <c r="AL419" i="6"/>
  <c r="AM419" i="6"/>
  <c r="AL420" i="6"/>
  <c r="AM420" i="6"/>
  <c r="AL421" i="6"/>
  <c r="AM421" i="6"/>
  <c r="AL422" i="6"/>
  <c r="AM422" i="6"/>
  <c r="AL423" i="6"/>
  <c r="AM423" i="6"/>
  <c r="AL424" i="6"/>
  <c r="AM424" i="6"/>
  <c r="AL425" i="6"/>
  <c r="AM425" i="6"/>
  <c r="AL426" i="6"/>
  <c r="AM426" i="6"/>
  <c r="AL427" i="6"/>
  <c r="AM427" i="6"/>
  <c r="AL429" i="6"/>
  <c r="AM429" i="6"/>
  <c r="AL430" i="6"/>
  <c r="AM430" i="6"/>
  <c r="AL431" i="6"/>
  <c r="AM431" i="6"/>
  <c r="AL432" i="6"/>
  <c r="AM432" i="6"/>
  <c r="AL416" i="6"/>
  <c r="AM416" i="6"/>
  <c r="AL433" i="6"/>
  <c r="AM433" i="6"/>
  <c r="AL434" i="6"/>
  <c r="AM434" i="6"/>
  <c r="AL435" i="6"/>
  <c r="AM435" i="6"/>
  <c r="AL436" i="6"/>
  <c r="AM436" i="6"/>
  <c r="AL437" i="6"/>
  <c r="AM437" i="6"/>
  <c r="AL438" i="6"/>
  <c r="AM438" i="6"/>
  <c r="AL439" i="6"/>
  <c r="AM439" i="6"/>
  <c r="AL440" i="6"/>
  <c r="AM440" i="6"/>
  <c r="AL441" i="6"/>
  <c r="AM441" i="6"/>
  <c r="AL442" i="6"/>
  <c r="AM442" i="6"/>
  <c r="AL443" i="6"/>
  <c r="AM443" i="6"/>
  <c r="AL444" i="6"/>
  <c r="AM444" i="6"/>
  <c r="AL445" i="6"/>
  <c r="AM445" i="6"/>
  <c r="AL447" i="6"/>
  <c r="AM447" i="6"/>
  <c r="AL449" i="6"/>
  <c r="AM449" i="6"/>
  <c r="AL450" i="6"/>
  <c r="AM450" i="6"/>
  <c r="AL451" i="6"/>
  <c r="AM451" i="6"/>
  <c r="AL452" i="6"/>
  <c r="AM452" i="6"/>
  <c r="AL446" i="6"/>
  <c r="AM446" i="6"/>
  <c r="AL453" i="6"/>
  <c r="AM453" i="6"/>
  <c r="AL454" i="6"/>
  <c r="AM454" i="6"/>
  <c r="AL455" i="6"/>
  <c r="AM455" i="6"/>
  <c r="AL448" i="6"/>
  <c r="AM448" i="6"/>
  <c r="AL456" i="6"/>
  <c r="AM456" i="6"/>
  <c r="AL457" i="6"/>
  <c r="AM457" i="6"/>
  <c r="AL458" i="6"/>
  <c r="AM458" i="6"/>
  <c r="AL459" i="6"/>
  <c r="AM459" i="6"/>
  <c r="AL460" i="6"/>
  <c r="AM460" i="6"/>
  <c r="AL461" i="6"/>
  <c r="AM461" i="6"/>
  <c r="AL462" i="6"/>
  <c r="AM462" i="6"/>
  <c r="AL463" i="6"/>
  <c r="AM463" i="6"/>
  <c r="AL464" i="6"/>
  <c r="AM464" i="6"/>
  <c r="AL465" i="6"/>
  <c r="AM465" i="6"/>
  <c r="AL466" i="6"/>
  <c r="AM466" i="6"/>
  <c r="AL468" i="6"/>
  <c r="AM468" i="6"/>
  <c r="AL469" i="6"/>
  <c r="AM469" i="6"/>
  <c r="AL470" i="6"/>
  <c r="AM470" i="6"/>
  <c r="AL467" i="6"/>
  <c r="AM467" i="6"/>
  <c r="AL471" i="6"/>
  <c r="AM471" i="6"/>
  <c r="AL472" i="6"/>
  <c r="AM472" i="6"/>
  <c r="AL473" i="6"/>
  <c r="AM473" i="6"/>
  <c r="AL474" i="6"/>
  <c r="AM474" i="6"/>
  <c r="AL476" i="6"/>
  <c r="AM476" i="6"/>
  <c r="AL477" i="6"/>
  <c r="AM477" i="6"/>
  <c r="AL479" i="6"/>
  <c r="AM479" i="6"/>
  <c r="AL480" i="6"/>
  <c r="AM480" i="6"/>
  <c r="AL482" i="6"/>
  <c r="AM482" i="6"/>
  <c r="AL483" i="6"/>
  <c r="AM483" i="6"/>
  <c r="AL475" i="6"/>
  <c r="AM475" i="6"/>
  <c r="AL484" i="6"/>
  <c r="AM484" i="6"/>
  <c r="AL485" i="6"/>
  <c r="AM485" i="6"/>
  <c r="AL478" i="6"/>
  <c r="AM478" i="6"/>
  <c r="AL486" i="6"/>
  <c r="AM486" i="6"/>
  <c r="AL481" i="6"/>
  <c r="AM481" i="6"/>
  <c r="AL487" i="6"/>
  <c r="AM487" i="6"/>
  <c r="AL488" i="6"/>
  <c r="AM488" i="6"/>
  <c r="AL489" i="6"/>
  <c r="AM489" i="6"/>
  <c r="AL490" i="6"/>
  <c r="AM490" i="6"/>
  <c r="AL491" i="6"/>
  <c r="AM491" i="6"/>
  <c r="AL492" i="6"/>
  <c r="AM492" i="6"/>
  <c r="AL493" i="6"/>
  <c r="AM493" i="6"/>
  <c r="AL494" i="6"/>
  <c r="AM494" i="6"/>
  <c r="AL495" i="6"/>
  <c r="AM495" i="6"/>
  <c r="AL496" i="6"/>
  <c r="AM496" i="6"/>
  <c r="AL497" i="6"/>
  <c r="AM497" i="6"/>
  <c r="AL498" i="6"/>
  <c r="AM498" i="6"/>
  <c r="AL499" i="6"/>
  <c r="AM499" i="6"/>
  <c r="AL500" i="6"/>
  <c r="AM500" i="6"/>
  <c r="AL501" i="6"/>
  <c r="AM501" i="6"/>
  <c r="AL502" i="6"/>
  <c r="AM502" i="6"/>
  <c r="AL503" i="6"/>
  <c r="AM503" i="6"/>
  <c r="AL504" i="6"/>
  <c r="AM504" i="6"/>
  <c r="AL505" i="6"/>
  <c r="AM505" i="6"/>
  <c r="AL506" i="6"/>
  <c r="AM506" i="6"/>
  <c r="AL507" i="6"/>
  <c r="AM507" i="6"/>
  <c r="AL508" i="6"/>
  <c r="AM508" i="6"/>
  <c r="AL509" i="6"/>
  <c r="AM509" i="6"/>
  <c r="AL510" i="6"/>
  <c r="AM510" i="6"/>
  <c r="AL511" i="6"/>
  <c r="AM511" i="6"/>
  <c r="AL512" i="6"/>
  <c r="AM512" i="6"/>
  <c r="AL513" i="6"/>
  <c r="AM513" i="6"/>
  <c r="AL514" i="6"/>
  <c r="AM514" i="6"/>
  <c r="AL515" i="6"/>
  <c r="AM515" i="6"/>
  <c r="AL516" i="6"/>
  <c r="AM516" i="6"/>
  <c r="AL517" i="6"/>
  <c r="AM517" i="6"/>
  <c r="AL518" i="6"/>
  <c r="AM518" i="6"/>
  <c r="AL519" i="6"/>
  <c r="AM519" i="6"/>
  <c r="AL520" i="6"/>
  <c r="AM520" i="6"/>
  <c r="AL521" i="6"/>
  <c r="AM521" i="6"/>
  <c r="AL522" i="6"/>
  <c r="AM522" i="6"/>
  <c r="AL523" i="6"/>
  <c r="AM523" i="6"/>
  <c r="AL524" i="6"/>
  <c r="AM524" i="6"/>
  <c r="AL525" i="6"/>
  <c r="AM525" i="6"/>
  <c r="AL526" i="6"/>
  <c r="AM526" i="6"/>
  <c r="AL527" i="6"/>
  <c r="AM527" i="6"/>
  <c r="AL528" i="6"/>
  <c r="AM528" i="6"/>
  <c r="AL529" i="6"/>
  <c r="AM529" i="6"/>
  <c r="AL530" i="6"/>
  <c r="AM530" i="6"/>
  <c r="AL531" i="6"/>
  <c r="AM531" i="6"/>
  <c r="AL532" i="6"/>
  <c r="AM532" i="6"/>
  <c r="AL533" i="6"/>
  <c r="AM533" i="6"/>
  <c r="AL534" i="6"/>
  <c r="AM534" i="6"/>
  <c r="AL535" i="6"/>
  <c r="AM535" i="6"/>
  <c r="AL536" i="6"/>
  <c r="AM536" i="6"/>
  <c r="AL537" i="6"/>
  <c r="AM537" i="6"/>
  <c r="AL538" i="6"/>
  <c r="AM538" i="6"/>
  <c r="AL539" i="6"/>
  <c r="AM539" i="6"/>
  <c r="AL540" i="6"/>
  <c r="AM540" i="6"/>
  <c r="AL542" i="6"/>
  <c r="AM542" i="6"/>
  <c r="AL543" i="6"/>
  <c r="AM543" i="6"/>
  <c r="AL544" i="6"/>
  <c r="AM544" i="6"/>
  <c r="AL545" i="6"/>
  <c r="AM545" i="6"/>
  <c r="AL541" i="6"/>
  <c r="AM541" i="6"/>
  <c r="AL546" i="6"/>
  <c r="AM546" i="6"/>
  <c r="AL547" i="6"/>
  <c r="AM547" i="6"/>
  <c r="AL548" i="6"/>
  <c r="AM548" i="6"/>
  <c r="AL549" i="6"/>
  <c r="AM549" i="6"/>
  <c r="AL550" i="6"/>
  <c r="AM550" i="6"/>
  <c r="AL551" i="6"/>
  <c r="AM551" i="6"/>
  <c r="AL552" i="6"/>
  <c r="AM552" i="6"/>
  <c r="AL553" i="6"/>
  <c r="AM553" i="6"/>
  <c r="AL554" i="6"/>
  <c r="AM554" i="6"/>
  <c r="AL555" i="6"/>
  <c r="AM555" i="6"/>
  <c r="AL556" i="6"/>
  <c r="AM556" i="6"/>
  <c r="AL557" i="6"/>
  <c r="AM557" i="6"/>
  <c r="AL558" i="6"/>
  <c r="AM558" i="6"/>
  <c r="AL559" i="6"/>
  <c r="AM559" i="6"/>
  <c r="AL560" i="6"/>
  <c r="AM560" i="6"/>
  <c r="AL561" i="6"/>
  <c r="AM561" i="6"/>
  <c r="AL562" i="6"/>
  <c r="AM562" i="6"/>
  <c r="AL564" i="6"/>
  <c r="AM564" i="6"/>
  <c r="AL565" i="6"/>
  <c r="AM565" i="6"/>
  <c r="AL566" i="6"/>
  <c r="AM566" i="6"/>
  <c r="AL567" i="6"/>
  <c r="AM567" i="6"/>
  <c r="AL568" i="6"/>
  <c r="AM568" i="6"/>
  <c r="AL569" i="6"/>
  <c r="AM569" i="6"/>
  <c r="AL570" i="6"/>
  <c r="AM570" i="6"/>
  <c r="AL571" i="6"/>
  <c r="AM571" i="6"/>
  <c r="AL572" i="6"/>
  <c r="AM572" i="6"/>
  <c r="AL573" i="6"/>
  <c r="AM573" i="6"/>
  <c r="AL574" i="6"/>
  <c r="AM574" i="6"/>
  <c r="AL575" i="6"/>
  <c r="AM575" i="6"/>
  <c r="AL576" i="6"/>
  <c r="AM576" i="6"/>
  <c r="AL577" i="6"/>
  <c r="AM577" i="6"/>
  <c r="AL578" i="6"/>
  <c r="AM578" i="6"/>
  <c r="AL581" i="6"/>
  <c r="AM581" i="6"/>
  <c r="AL582" i="6"/>
  <c r="AM582" i="6"/>
  <c r="AL583" i="6"/>
  <c r="AM583" i="6"/>
  <c r="AL584" i="6"/>
  <c r="AM584" i="6"/>
  <c r="AL585" i="6"/>
  <c r="AM585" i="6"/>
  <c r="AL586" i="6"/>
  <c r="AM586" i="6"/>
  <c r="AL587" i="6"/>
  <c r="AM587" i="6"/>
  <c r="AL588" i="6"/>
  <c r="AM588" i="6"/>
  <c r="AL589" i="6"/>
  <c r="AM589" i="6"/>
  <c r="AL590" i="6"/>
  <c r="AM590" i="6"/>
  <c r="AL563" i="6"/>
  <c r="AM563" i="6"/>
  <c r="AL591" i="6"/>
  <c r="AM591" i="6"/>
  <c r="AL592" i="6"/>
  <c r="AM592" i="6"/>
  <c r="AL593" i="6"/>
  <c r="AM593" i="6"/>
  <c r="AL595" i="6"/>
  <c r="AM595" i="6"/>
  <c r="AL596" i="6"/>
  <c r="AM596" i="6"/>
  <c r="AL597" i="6"/>
  <c r="AM597" i="6"/>
  <c r="AL598" i="6"/>
  <c r="AM598" i="6"/>
  <c r="AL599" i="6"/>
  <c r="AM599" i="6"/>
  <c r="AL600" i="6"/>
  <c r="AM600" i="6"/>
  <c r="AL579" i="6"/>
  <c r="AM579" i="6"/>
  <c r="AL580" i="6"/>
  <c r="AM580" i="6"/>
  <c r="AL601" i="6"/>
  <c r="AM601" i="6"/>
  <c r="AL602" i="6"/>
  <c r="AM602" i="6"/>
  <c r="AL603" i="6"/>
  <c r="AM603" i="6"/>
  <c r="AL604" i="6"/>
  <c r="AM604" i="6"/>
  <c r="AL605" i="6"/>
  <c r="AM605" i="6"/>
  <c r="AL606" i="6"/>
  <c r="AM606" i="6"/>
  <c r="AL607" i="6"/>
  <c r="AM607" i="6"/>
  <c r="AL608" i="6"/>
  <c r="AM608" i="6"/>
  <c r="AL609" i="6"/>
  <c r="AM609" i="6"/>
  <c r="AL610" i="6"/>
  <c r="AM610" i="6"/>
  <c r="AL594" i="6"/>
  <c r="AM594" i="6"/>
  <c r="AL611" i="6"/>
  <c r="AM611" i="6"/>
  <c r="AL612" i="6"/>
  <c r="AM612" i="6"/>
  <c r="AL613" i="6"/>
  <c r="AM613" i="6"/>
  <c r="AL614" i="6"/>
  <c r="AM614" i="6"/>
  <c r="AL615" i="6"/>
  <c r="AM615" i="6"/>
  <c r="AL616" i="6"/>
  <c r="AM616" i="6"/>
  <c r="AL618" i="6"/>
  <c r="AM618" i="6"/>
  <c r="AL619" i="6"/>
  <c r="AM619" i="6"/>
  <c r="AL617" i="6"/>
  <c r="AM617" i="6"/>
  <c r="AL620" i="6"/>
  <c r="AM620" i="6"/>
  <c r="AL621" i="6"/>
  <c r="AM621" i="6"/>
  <c r="AL622" i="6"/>
  <c r="AM622" i="6"/>
  <c r="AL623" i="6"/>
  <c r="AM623" i="6"/>
  <c r="AL624" i="6"/>
  <c r="AM624" i="6"/>
  <c r="AL625" i="6"/>
  <c r="AM625" i="6"/>
  <c r="AL626" i="6"/>
  <c r="AM626" i="6"/>
  <c r="AL627" i="6"/>
  <c r="AM627" i="6"/>
  <c r="AL628" i="6"/>
  <c r="AM628" i="6"/>
  <c r="AL629" i="6"/>
  <c r="AM629" i="6"/>
  <c r="AL630" i="6"/>
  <c r="AM630" i="6"/>
  <c r="AL631" i="6"/>
  <c r="AM631" i="6"/>
  <c r="AL632" i="6"/>
  <c r="AM632" i="6"/>
  <c r="AL633" i="6"/>
  <c r="AM633" i="6"/>
  <c r="AL634" i="6"/>
  <c r="AM634" i="6"/>
  <c r="AL635" i="6"/>
  <c r="AM635" i="6"/>
  <c r="AL636" i="6"/>
  <c r="AM636" i="6"/>
  <c r="AL637" i="6"/>
  <c r="AM637" i="6"/>
  <c r="AL638" i="6"/>
  <c r="AM638" i="6"/>
  <c r="AL639" i="6"/>
  <c r="AM639" i="6"/>
  <c r="AL640" i="6"/>
  <c r="AM640" i="6"/>
  <c r="AL641" i="6"/>
  <c r="AM641" i="6"/>
  <c r="AL642" i="6"/>
  <c r="AM642" i="6"/>
  <c r="AL643" i="6"/>
  <c r="AM643" i="6"/>
  <c r="AL644" i="6"/>
  <c r="AM644" i="6"/>
  <c r="AL645" i="6"/>
  <c r="AM645" i="6"/>
  <c r="AL646" i="6"/>
  <c r="AM646" i="6"/>
  <c r="AL647" i="6"/>
  <c r="AM647" i="6"/>
  <c r="AL648" i="6"/>
  <c r="AM648" i="6"/>
  <c r="AL649" i="6"/>
  <c r="AM649" i="6"/>
  <c r="AL650" i="6"/>
  <c r="AM650" i="6"/>
  <c r="AL651" i="6"/>
  <c r="AM651" i="6"/>
  <c r="AL652" i="6"/>
  <c r="AM652" i="6"/>
  <c r="AL653" i="6"/>
  <c r="AM653" i="6"/>
  <c r="AL655" i="6"/>
  <c r="AM655" i="6"/>
  <c r="AL656" i="6"/>
  <c r="AM656" i="6"/>
  <c r="AL657" i="6"/>
  <c r="AM657" i="6"/>
  <c r="AL658" i="6"/>
  <c r="AM658" i="6"/>
  <c r="AL660" i="6"/>
  <c r="AM660" i="6"/>
  <c r="AL661" i="6"/>
  <c r="AM661" i="6"/>
  <c r="AL662" i="6"/>
  <c r="AM662" i="6"/>
  <c r="AL654" i="6"/>
  <c r="AM654" i="6"/>
  <c r="AL663" i="6"/>
  <c r="AM663" i="6"/>
  <c r="AL664" i="6"/>
  <c r="AM664" i="6"/>
  <c r="AL665" i="6"/>
  <c r="AM665" i="6"/>
  <c r="AL666" i="6"/>
  <c r="AM666" i="6"/>
  <c r="AL659" i="6"/>
  <c r="AM659" i="6"/>
  <c r="AL670" i="6"/>
  <c r="AM670" i="6"/>
  <c r="AL671" i="6"/>
  <c r="AM671" i="6"/>
  <c r="AL672" i="6"/>
  <c r="AM672" i="6"/>
  <c r="AL673" i="6"/>
  <c r="AM673" i="6"/>
  <c r="AL674" i="6"/>
  <c r="AM674" i="6"/>
  <c r="AL675" i="6"/>
  <c r="AM675" i="6"/>
  <c r="AL676" i="6"/>
  <c r="AM676" i="6"/>
  <c r="AL677" i="6"/>
  <c r="AM677" i="6"/>
  <c r="AL678" i="6"/>
  <c r="AM678" i="6"/>
  <c r="AL679" i="6"/>
  <c r="AM679" i="6"/>
  <c r="AL680" i="6"/>
  <c r="AM680" i="6"/>
  <c r="AL681" i="6"/>
  <c r="AM681" i="6"/>
  <c r="AL682" i="6"/>
  <c r="AM682" i="6"/>
  <c r="AL683" i="6"/>
  <c r="AM683" i="6"/>
  <c r="AL685" i="6"/>
  <c r="AM685" i="6"/>
  <c r="AL686" i="6"/>
  <c r="AM686" i="6"/>
  <c r="AL687" i="6"/>
  <c r="AM687" i="6"/>
  <c r="AL688" i="6"/>
  <c r="AM688" i="6"/>
  <c r="AL689" i="6"/>
  <c r="AM689" i="6"/>
  <c r="AL690" i="6"/>
  <c r="AM690" i="6"/>
  <c r="AL691" i="6"/>
  <c r="AM691" i="6"/>
  <c r="AL692" i="6"/>
  <c r="AM692" i="6"/>
  <c r="AL684" i="6"/>
  <c r="AM684" i="6"/>
  <c r="AF7" i="6"/>
  <c r="AG7" i="6" s="1"/>
  <c r="AH7" i="6"/>
  <c r="AI7" i="6" s="1"/>
  <c r="AF8" i="6"/>
  <c r="AG8" i="6" s="1"/>
  <c r="AH8" i="6"/>
  <c r="AI8" i="6" s="1"/>
  <c r="AF9" i="6"/>
  <c r="AG9" i="6" s="1"/>
  <c r="AH9" i="6"/>
  <c r="AI9" i="6" s="1"/>
  <c r="AF10" i="6"/>
  <c r="AG10" i="6" s="1"/>
  <c r="AH10" i="6"/>
  <c r="AI10" i="6" s="1"/>
  <c r="AF11" i="6"/>
  <c r="AG11" i="6" s="1"/>
  <c r="AH11" i="6"/>
  <c r="AI11" i="6" s="1"/>
  <c r="AF12" i="6"/>
  <c r="AG12" i="6" s="1"/>
  <c r="AH12" i="6"/>
  <c r="AI12" i="6" s="1"/>
  <c r="AF13" i="6"/>
  <c r="AG13" i="6" s="1"/>
  <c r="AH13" i="6"/>
  <c r="AI13" i="6" s="1"/>
  <c r="AF14" i="6"/>
  <c r="AG14" i="6" s="1"/>
  <c r="AH14" i="6"/>
  <c r="AI14" i="6" s="1"/>
  <c r="AF15" i="6"/>
  <c r="AG15" i="6" s="1"/>
  <c r="AH15" i="6"/>
  <c r="AI15" i="6" s="1"/>
  <c r="AF16" i="6"/>
  <c r="AG16" i="6" s="1"/>
  <c r="AH16" i="6"/>
  <c r="AI16" i="6" s="1"/>
  <c r="AF17" i="6"/>
  <c r="AG17" i="6" s="1"/>
  <c r="AH17" i="6"/>
  <c r="AI17" i="6" s="1"/>
  <c r="AF18" i="6"/>
  <c r="AG18" i="6" s="1"/>
  <c r="AH18" i="6"/>
  <c r="AI18" i="6" s="1"/>
  <c r="AF19" i="6"/>
  <c r="AG19" i="6" s="1"/>
  <c r="AH19" i="6"/>
  <c r="AI19" i="6" s="1"/>
  <c r="AF20" i="6"/>
  <c r="AG20" i="6" s="1"/>
  <c r="AH20" i="6"/>
  <c r="AI20" i="6" s="1"/>
  <c r="AF22" i="6"/>
  <c r="AG22" i="6" s="1"/>
  <c r="AH22" i="6"/>
  <c r="AI22" i="6" s="1"/>
  <c r="AF23" i="6"/>
  <c r="AG23" i="6" s="1"/>
  <c r="AH23" i="6"/>
  <c r="AI23" i="6" s="1"/>
  <c r="AF25" i="6"/>
  <c r="AG25" i="6" s="1"/>
  <c r="AH25" i="6"/>
  <c r="AI25" i="6" s="1"/>
  <c r="AF26" i="6"/>
  <c r="AG26" i="6" s="1"/>
  <c r="AH26" i="6"/>
  <c r="AI26" i="6" s="1"/>
  <c r="AF21" i="6"/>
  <c r="AG21" i="6" s="1"/>
  <c r="AH21" i="6"/>
  <c r="AI21" i="6" s="1"/>
  <c r="AF29" i="6"/>
  <c r="AG29" i="6" s="1"/>
  <c r="AH29" i="6"/>
  <c r="AI29" i="6" s="1"/>
  <c r="AF30" i="6"/>
  <c r="AG30" i="6" s="1"/>
  <c r="AH30" i="6"/>
  <c r="AI30" i="6" s="1"/>
  <c r="AF31" i="6"/>
  <c r="AG31" i="6" s="1"/>
  <c r="AH31" i="6"/>
  <c r="AI31" i="6" s="1"/>
  <c r="AF32" i="6"/>
  <c r="AG32" i="6" s="1"/>
  <c r="AH32" i="6"/>
  <c r="AI32" i="6" s="1"/>
  <c r="AF33" i="6"/>
  <c r="AG33" i="6" s="1"/>
  <c r="AH33" i="6"/>
  <c r="AI33" i="6" s="1"/>
  <c r="AF34" i="6"/>
  <c r="AG34" i="6" s="1"/>
  <c r="AH34" i="6"/>
  <c r="AI34" i="6" s="1"/>
  <c r="AF35" i="6"/>
  <c r="AG35" i="6" s="1"/>
  <c r="AH35" i="6"/>
  <c r="AI35" i="6" s="1"/>
  <c r="AF24" i="6"/>
  <c r="AG24" i="6" s="1"/>
  <c r="AH24" i="6"/>
  <c r="AI24" i="6" s="1"/>
  <c r="AF36" i="6"/>
  <c r="AG36" i="6" s="1"/>
  <c r="AH36" i="6"/>
  <c r="AI36" i="6" s="1"/>
  <c r="AF27" i="6"/>
  <c r="AG27" i="6" s="1"/>
  <c r="AH27" i="6"/>
  <c r="AI27" i="6" s="1"/>
  <c r="AF37" i="6"/>
  <c r="AG37" i="6" s="1"/>
  <c r="AH37" i="6"/>
  <c r="AI37" i="6" s="1"/>
  <c r="AF28" i="6"/>
  <c r="AG28" i="6" s="1"/>
  <c r="AH28" i="6"/>
  <c r="AI28" i="6" s="1"/>
  <c r="AF38" i="6"/>
  <c r="AG38" i="6" s="1"/>
  <c r="AH38" i="6"/>
  <c r="AI38" i="6" s="1"/>
  <c r="AF39" i="6"/>
  <c r="AG39" i="6" s="1"/>
  <c r="AH39" i="6"/>
  <c r="AI39" i="6" s="1"/>
  <c r="AF40" i="6"/>
  <c r="AG40" i="6" s="1"/>
  <c r="AH40" i="6"/>
  <c r="AI40" i="6" s="1"/>
  <c r="AF41" i="6"/>
  <c r="AG41" i="6" s="1"/>
  <c r="AH41" i="6"/>
  <c r="AI41" i="6" s="1"/>
  <c r="AF42" i="6"/>
  <c r="AG42" i="6" s="1"/>
  <c r="AH42" i="6"/>
  <c r="AI42" i="6" s="1"/>
  <c r="AF43" i="6"/>
  <c r="AG43" i="6" s="1"/>
  <c r="AH43" i="6"/>
  <c r="AI43" i="6" s="1"/>
  <c r="AF44" i="6"/>
  <c r="AG44" i="6" s="1"/>
  <c r="AH44" i="6"/>
  <c r="AI44" i="6" s="1"/>
  <c r="AF45" i="6"/>
  <c r="AG45" i="6" s="1"/>
  <c r="AH45" i="6"/>
  <c r="AI45" i="6" s="1"/>
  <c r="AF46" i="6"/>
  <c r="AG46" i="6" s="1"/>
  <c r="AH46" i="6"/>
  <c r="AI46" i="6" s="1"/>
  <c r="AF47" i="6"/>
  <c r="AG47" i="6" s="1"/>
  <c r="AH47" i="6"/>
  <c r="AI47" i="6" s="1"/>
  <c r="AF48" i="6"/>
  <c r="AG48" i="6" s="1"/>
  <c r="AH48" i="6"/>
  <c r="AI48" i="6" s="1"/>
  <c r="AF49" i="6"/>
  <c r="AG49" i="6" s="1"/>
  <c r="AH49" i="6"/>
  <c r="AI49" i="6" s="1"/>
  <c r="AF50" i="6"/>
  <c r="AG50" i="6" s="1"/>
  <c r="AH50" i="6"/>
  <c r="AI50" i="6" s="1"/>
  <c r="AF51" i="6"/>
  <c r="AG51" i="6" s="1"/>
  <c r="AH51" i="6"/>
  <c r="AI51" i="6" s="1"/>
  <c r="AF52" i="6"/>
  <c r="AG52" i="6" s="1"/>
  <c r="AH52" i="6"/>
  <c r="AI52" i="6" s="1"/>
  <c r="AF53" i="6"/>
  <c r="AG53" i="6" s="1"/>
  <c r="AH53" i="6"/>
  <c r="AI53" i="6" s="1"/>
  <c r="AF54" i="6"/>
  <c r="AG54" i="6" s="1"/>
  <c r="AH54" i="6"/>
  <c r="AI54" i="6" s="1"/>
  <c r="AF55" i="6"/>
  <c r="AG55" i="6" s="1"/>
  <c r="AH55" i="6"/>
  <c r="AI55" i="6" s="1"/>
  <c r="AF57" i="6"/>
  <c r="AG57" i="6" s="1"/>
  <c r="AH57" i="6"/>
  <c r="AI57" i="6" s="1"/>
  <c r="AF58" i="6"/>
  <c r="AG58" i="6" s="1"/>
  <c r="AH58" i="6"/>
  <c r="AI58" i="6" s="1"/>
  <c r="AF59" i="6"/>
  <c r="AG59" i="6" s="1"/>
  <c r="AH59" i="6"/>
  <c r="AI59" i="6" s="1"/>
  <c r="AF56" i="6"/>
  <c r="AG56" i="6" s="1"/>
  <c r="AH56" i="6"/>
  <c r="AI56" i="6" s="1"/>
  <c r="AF60" i="6"/>
  <c r="AG60" i="6" s="1"/>
  <c r="AH60" i="6"/>
  <c r="AI60" i="6" s="1"/>
  <c r="AF61" i="6"/>
  <c r="AG61" i="6" s="1"/>
  <c r="AH61" i="6"/>
  <c r="AI61" i="6" s="1"/>
  <c r="AF62" i="6"/>
  <c r="AG62" i="6" s="1"/>
  <c r="AH62" i="6"/>
  <c r="AI62" i="6" s="1"/>
  <c r="AF63" i="6"/>
  <c r="AG63" i="6" s="1"/>
  <c r="AH63" i="6"/>
  <c r="AI63" i="6" s="1"/>
  <c r="AF65" i="6"/>
  <c r="AG65" i="6" s="1"/>
  <c r="AH65" i="6"/>
  <c r="AI65" i="6" s="1"/>
  <c r="AF66" i="6"/>
  <c r="AG66" i="6" s="1"/>
  <c r="AH66" i="6"/>
  <c r="AI66" i="6" s="1"/>
  <c r="AF67" i="6"/>
  <c r="AG67" i="6" s="1"/>
  <c r="AH67" i="6"/>
  <c r="AI67" i="6" s="1"/>
  <c r="AF68" i="6"/>
  <c r="AG68" i="6" s="1"/>
  <c r="AH68" i="6"/>
  <c r="AI68" i="6" s="1"/>
  <c r="AF64" i="6"/>
  <c r="AG64" i="6" s="1"/>
  <c r="AH64" i="6"/>
  <c r="AI64" i="6" s="1"/>
  <c r="AF69" i="6"/>
  <c r="AG69" i="6" s="1"/>
  <c r="AH69" i="6"/>
  <c r="AI69" i="6" s="1"/>
  <c r="AF70" i="6"/>
  <c r="AG70" i="6" s="1"/>
  <c r="AH70" i="6"/>
  <c r="AI70" i="6" s="1"/>
  <c r="AF71" i="6"/>
  <c r="AG71" i="6" s="1"/>
  <c r="AH71" i="6"/>
  <c r="AI71" i="6" s="1"/>
  <c r="AF72" i="6"/>
  <c r="AG72" i="6" s="1"/>
  <c r="AH72" i="6"/>
  <c r="AI72" i="6" s="1"/>
  <c r="AF73" i="6"/>
  <c r="AG73" i="6" s="1"/>
  <c r="AH73" i="6"/>
  <c r="AI73" i="6" s="1"/>
  <c r="AF74" i="6"/>
  <c r="AG74" i="6" s="1"/>
  <c r="AH74" i="6"/>
  <c r="AI74" i="6" s="1"/>
  <c r="AF75" i="6"/>
  <c r="AG75" i="6" s="1"/>
  <c r="AH75" i="6"/>
  <c r="AI75" i="6" s="1"/>
  <c r="AF76" i="6"/>
  <c r="AG76" i="6" s="1"/>
  <c r="AH76" i="6"/>
  <c r="AI76" i="6" s="1"/>
  <c r="AF77" i="6"/>
  <c r="AG77" i="6" s="1"/>
  <c r="AH77" i="6"/>
  <c r="AI77" i="6" s="1"/>
  <c r="AF78" i="6"/>
  <c r="AG78" i="6" s="1"/>
  <c r="AH78" i="6"/>
  <c r="AI78" i="6" s="1"/>
  <c r="AF79" i="6"/>
  <c r="AG79" i="6" s="1"/>
  <c r="AH79" i="6"/>
  <c r="AI79" i="6" s="1"/>
  <c r="AF81" i="6"/>
  <c r="AG81" i="6" s="1"/>
  <c r="AH81" i="6"/>
  <c r="AI81" i="6" s="1"/>
  <c r="AF80" i="6"/>
  <c r="AG80" i="6" s="1"/>
  <c r="AH80" i="6"/>
  <c r="AI80" i="6" s="1"/>
  <c r="AF82" i="6"/>
  <c r="AG82" i="6" s="1"/>
  <c r="AH82" i="6"/>
  <c r="AI82" i="6" s="1"/>
  <c r="AF83" i="6"/>
  <c r="AG83" i="6" s="1"/>
  <c r="AH83" i="6"/>
  <c r="AI83" i="6" s="1"/>
  <c r="AF84" i="6"/>
  <c r="AG84" i="6" s="1"/>
  <c r="AH84" i="6"/>
  <c r="AI84" i="6" s="1"/>
  <c r="AF85" i="6"/>
  <c r="AG85" i="6" s="1"/>
  <c r="AH85" i="6"/>
  <c r="AI85" i="6" s="1"/>
  <c r="AF86" i="6"/>
  <c r="AG86" i="6" s="1"/>
  <c r="AH86" i="6"/>
  <c r="AI86" i="6" s="1"/>
  <c r="AF87" i="6"/>
  <c r="AG87" i="6" s="1"/>
  <c r="AH87" i="6"/>
  <c r="AI87" i="6" s="1"/>
  <c r="AF88" i="6"/>
  <c r="AG88" i="6" s="1"/>
  <c r="AH88" i="6"/>
  <c r="AI88" i="6" s="1"/>
  <c r="AF89" i="6"/>
  <c r="AG89" i="6" s="1"/>
  <c r="AH89" i="6"/>
  <c r="AI89" i="6" s="1"/>
  <c r="AF90" i="6"/>
  <c r="AG90" i="6" s="1"/>
  <c r="AH90" i="6"/>
  <c r="AI90" i="6" s="1"/>
  <c r="AF91" i="6"/>
  <c r="AG91" i="6" s="1"/>
  <c r="AH91" i="6"/>
  <c r="AI91" i="6" s="1"/>
  <c r="AF92" i="6"/>
  <c r="AG92" i="6" s="1"/>
  <c r="AH92" i="6"/>
  <c r="AI92" i="6" s="1"/>
  <c r="AF93" i="6"/>
  <c r="AG93" i="6" s="1"/>
  <c r="AH93" i="6"/>
  <c r="AI93" i="6" s="1"/>
  <c r="AF100" i="6"/>
  <c r="AH100" i="6"/>
  <c r="AI100" i="6" s="1"/>
  <c r="AF101" i="6"/>
  <c r="AL101" i="6" s="1"/>
  <c r="AH101" i="6"/>
  <c r="AF102" i="6"/>
  <c r="AG102" i="6" s="1"/>
  <c r="AH102" i="6"/>
  <c r="AI102" i="6" s="1"/>
  <c r="AF103" i="6"/>
  <c r="AH103" i="6"/>
  <c r="AF104" i="6"/>
  <c r="AH104" i="6"/>
  <c r="AF97" i="6"/>
  <c r="AH97" i="6"/>
  <c r="AM97" i="6" s="1"/>
  <c r="AF105" i="6"/>
  <c r="AG105" i="6" s="1"/>
  <c r="AH105" i="6"/>
  <c r="AI105" i="6" s="1"/>
  <c r="AF98" i="6"/>
  <c r="AG98" i="6" s="1"/>
  <c r="AH98" i="6"/>
  <c r="AF106" i="6"/>
  <c r="AH106" i="6"/>
  <c r="AF107" i="6"/>
  <c r="AG107" i="6" s="1"/>
  <c r="AH107" i="6"/>
  <c r="AI107" i="6" s="1"/>
  <c r="AF108" i="6"/>
  <c r="AH108" i="6"/>
  <c r="AI108" i="6" s="1"/>
  <c r="AF109" i="6"/>
  <c r="AG109" i="6" s="1"/>
  <c r="AH109" i="6"/>
  <c r="AF110" i="6"/>
  <c r="AG110" i="6" s="1"/>
  <c r="AH110" i="6"/>
  <c r="AM110" i="6" s="1"/>
  <c r="AF111" i="6"/>
  <c r="AL111" i="6" s="1"/>
  <c r="AH111" i="6"/>
  <c r="AF112" i="6"/>
  <c r="AH112" i="6"/>
  <c r="AI112" i="6" s="1"/>
  <c r="AF113" i="6"/>
  <c r="AG113" i="6" s="1"/>
  <c r="AH113" i="6"/>
  <c r="AF114" i="6"/>
  <c r="AG114" i="6" s="1"/>
  <c r="AH114" i="6"/>
  <c r="AM114" i="6" s="1"/>
  <c r="AF115" i="6"/>
  <c r="AL115" i="6" s="1"/>
  <c r="AH115" i="6"/>
  <c r="AI115" i="6" s="1"/>
  <c r="AF116" i="6"/>
  <c r="AG116" i="6" s="1"/>
  <c r="AH116" i="6"/>
  <c r="AI116" i="6" s="1"/>
  <c r="AF117" i="6"/>
  <c r="AH117" i="6"/>
  <c r="AF118" i="6"/>
  <c r="AH118" i="6"/>
  <c r="AI118" i="6" s="1"/>
  <c r="AF119" i="6"/>
  <c r="AH119" i="6"/>
  <c r="AF120" i="6"/>
  <c r="AH120" i="6"/>
  <c r="AI120" i="6" s="1"/>
  <c r="AF121" i="6"/>
  <c r="AL121" i="6" s="1"/>
  <c r="AH121" i="6"/>
  <c r="AF122" i="6"/>
  <c r="AG122" i="6" s="1"/>
  <c r="AH122" i="6"/>
  <c r="AI122" i="6" s="1"/>
  <c r="AF123" i="6"/>
  <c r="AG123" i="6" s="1"/>
  <c r="AH123" i="6"/>
  <c r="AI123" i="6" s="1"/>
  <c r="AF124" i="6"/>
  <c r="AG124" i="6" s="1"/>
  <c r="AH124" i="6"/>
  <c r="AI124" i="6" s="1"/>
  <c r="AF125" i="6"/>
  <c r="AG125" i="6" s="1"/>
  <c r="AH125" i="6"/>
  <c r="AI125" i="6" s="1"/>
  <c r="AF126" i="6"/>
  <c r="AG126" i="6" s="1"/>
  <c r="AH126" i="6"/>
  <c r="AI126" i="6" s="1"/>
  <c r="AF127" i="6"/>
  <c r="AG127" i="6" s="1"/>
  <c r="AH127" i="6"/>
  <c r="AI127" i="6" s="1"/>
  <c r="AF128" i="6"/>
  <c r="AG128" i="6" s="1"/>
  <c r="AH128" i="6"/>
  <c r="AI128" i="6" s="1"/>
  <c r="AF129" i="6"/>
  <c r="AG129" i="6" s="1"/>
  <c r="AH129" i="6"/>
  <c r="AI129" i="6" s="1"/>
  <c r="AF130" i="6"/>
  <c r="AG130" i="6" s="1"/>
  <c r="AH130" i="6"/>
  <c r="AI130" i="6" s="1"/>
  <c r="AF131" i="6"/>
  <c r="AG131" i="6" s="1"/>
  <c r="AH131" i="6"/>
  <c r="AI131" i="6" s="1"/>
  <c r="AF132" i="6"/>
  <c r="AG132" i="6" s="1"/>
  <c r="AH132" i="6"/>
  <c r="AI132" i="6" s="1"/>
  <c r="AF133" i="6"/>
  <c r="AG133" i="6" s="1"/>
  <c r="AH133" i="6"/>
  <c r="AI133" i="6" s="1"/>
  <c r="AF135" i="6"/>
  <c r="AG135" i="6" s="1"/>
  <c r="AH135" i="6"/>
  <c r="AI135" i="6" s="1"/>
  <c r="AF136" i="6"/>
  <c r="AG136" i="6" s="1"/>
  <c r="AH136" i="6"/>
  <c r="AI136" i="6" s="1"/>
  <c r="AF137" i="6"/>
  <c r="AG137" i="6" s="1"/>
  <c r="AH137" i="6"/>
  <c r="AI137" i="6" s="1"/>
  <c r="AF138" i="6"/>
  <c r="AG138" i="6" s="1"/>
  <c r="AH138" i="6"/>
  <c r="AI138" i="6" s="1"/>
  <c r="AF134" i="6"/>
  <c r="AG134" i="6" s="1"/>
  <c r="AH134" i="6"/>
  <c r="AI134" i="6" s="1"/>
  <c r="AF140" i="6"/>
  <c r="AG140" i="6" s="1"/>
  <c r="AH140" i="6"/>
  <c r="AI140" i="6" s="1"/>
  <c r="AF141" i="6"/>
  <c r="AG141" i="6" s="1"/>
  <c r="AH141" i="6"/>
  <c r="AI141" i="6" s="1"/>
  <c r="AF142" i="6"/>
  <c r="AG142" i="6" s="1"/>
  <c r="AH142" i="6"/>
  <c r="AI142" i="6" s="1"/>
  <c r="AF144" i="6"/>
  <c r="AG144" i="6" s="1"/>
  <c r="AH144" i="6"/>
  <c r="AI144" i="6" s="1"/>
  <c r="AF145" i="6"/>
  <c r="AG145" i="6" s="1"/>
  <c r="AH145" i="6"/>
  <c r="AI145" i="6" s="1"/>
  <c r="AF147" i="6"/>
  <c r="AG147" i="6" s="1"/>
  <c r="AH147" i="6"/>
  <c r="AI147" i="6" s="1"/>
  <c r="AF148" i="6"/>
  <c r="AG148" i="6" s="1"/>
  <c r="AH148" i="6"/>
  <c r="AI148" i="6" s="1"/>
  <c r="AF149" i="6"/>
  <c r="AG149" i="6" s="1"/>
  <c r="AH149" i="6"/>
  <c r="AI149" i="6" s="1"/>
  <c r="AF151" i="6"/>
  <c r="AG151" i="6" s="1"/>
  <c r="AH151" i="6"/>
  <c r="AI151" i="6" s="1"/>
  <c r="AF143" i="6"/>
  <c r="AG143" i="6" s="1"/>
  <c r="AH143" i="6"/>
  <c r="AI143" i="6" s="1"/>
  <c r="AF152" i="6"/>
  <c r="AG152" i="6" s="1"/>
  <c r="AH152" i="6"/>
  <c r="AI152" i="6" s="1"/>
  <c r="AF146" i="6"/>
  <c r="AG146" i="6" s="1"/>
  <c r="AH146" i="6"/>
  <c r="AI146" i="6" s="1"/>
  <c r="AF150" i="6"/>
  <c r="AG150" i="6" s="1"/>
  <c r="AH150" i="6"/>
  <c r="AI150" i="6" s="1"/>
  <c r="AF153" i="6"/>
  <c r="AG153" i="6" s="1"/>
  <c r="AH153" i="6"/>
  <c r="AI153" i="6" s="1"/>
  <c r="AF154" i="6"/>
  <c r="AG154" i="6" s="1"/>
  <c r="AH154" i="6"/>
  <c r="AI154" i="6" s="1"/>
  <c r="AF139" i="6"/>
  <c r="AG139" i="6" s="1"/>
  <c r="AH139" i="6"/>
  <c r="AI139" i="6" s="1"/>
  <c r="AF155" i="6"/>
  <c r="AG155" i="6" s="1"/>
  <c r="AH155" i="6"/>
  <c r="AI155" i="6" s="1"/>
  <c r="AF156" i="6"/>
  <c r="AG156" i="6" s="1"/>
  <c r="AH156" i="6"/>
  <c r="AI156" i="6" s="1"/>
  <c r="AF157" i="6"/>
  <c r="AG157" i="6" s="1"/>
  <c r="AH157" i="6"/>
  <c r="AI157" i="6" s="1"/>
  <c r="AF158" i="6"/>
  <c r="AG158" i="6" s="1"/>
  <c r="AH158" i="6"/>
  <c r="AI158" i="6" s="1"/>
  <c r="AF159" i="6"/>
  <c r="AG159" i="6" s="1"/>
  <c r="AH159" i="6"/>
  <c r="AI159" i="6" s="1"/>
  <c r="AF160" i="6"/>
  <c r="AG160" i="6" s="1"/>
  <c r="AH160" i="6"/>
  <c r="AI160" i="6" s="1"/>
  <c r="AF161" i="6"/>
  <c r="AG161" i="6" s="1"/>
  <c r="AH161" i="6"/>
  <c r="AI161" i="6" s="1"/>
  <c r="AF162" i="6"/>
  <c r="AG162" i="6" s="1"/>
  <c r="AH162" i="6"/>
  <c r="AI162" i="6" s="1"/>
  <c r="AF163" i="6"/>
  <c r="AG163" i="6" s="1"/>
  <c r="AH163" i="6"/>
  <c r="AI163" i="6" s="1"/>
  <c r="AF164" i="6"/>
  <c r="AG164" i="6" s="1"/>
  <c r="AH164" i="6"/>
  <c r="AI164" i="6" s="1"/>
  <c r="AF165" i="6"/>
  <c r="AG165" i="6" s="1"/>
  <c r="AH165" i="6"/>
  <c r="AI165" i="6" s="1"/>
  <c r="AF166" i="6"/>
  <c r="AG166" i="6" s="1"/>
  <c r="AH166" i="6"/>
  <c r="AI166" i="6" s="1"/>
  <c r="AF167" i="6"/>
  <c r="AG167" i="6" s="1"/>
  <c r="AH167" i="6"/>
  <c r="AI167" i="6" s="1"/>
  <c r="AF168" i="6"/>
  <c r="AG168" i="6" s="1"/>
  <c r="AH168" i="6"/>
  <c r="AI168" i="6" s="1"/>
  <c r="AF169" i="6"/>
  <c r="AG169" i="6" s="1"/>
  <c r="AH169" i="6"/>
  <c r="AI169" i="6" s="1"/>
  <c r="AF170" i="6"/>
  <c r="AG170" i="6" s="1"/>
  <c r="AH170" i="6"/>
  <c r="AI170" i="6" s="1"/>
  <c r="AF171" i="6"/>
  <c r="AG171" i="6" s="1"/>
  <c r="AH171" i="6"/>
  <c r="AI171" i="6" s="1"/>
  <c r="AF172" i="6"/>
  <c r="AG172" i="6" s="1"/>
  <c r="AH172" i="6"/>
  <c r="AI172" i="6" s="1"/>
  <c r="AF173" i="6"/>
  <c r="AG173" i="6" s="1"/>
  <c r="AH173" i="6"/>
  <c r="AI173" i="6" s="1"/>
  <c r="AF174" i="6"/>
  <c r="AG174" i="6" s="1"/>
  <c r="AH174" i="6"/>
  <c r="AI174" i="6" s="1"/>
  <c r="AF175" i="6"/>
  <c r="AG175" i="6" s="1"/>
  <c r="AH175" i="6"/>
  <c r="AI175" i="6" s="1"/>
  <c r="AF176" i="6"/>
  <c r="AG176" i="6" s="1"/>
  <c r="AH176" i="6"/>
  <c r="AI176" i="6" s="1"/>
  <c r="AF177" i="6"/>
  <c r="AG177" i="6" s="1"/>
  <c r="AH177" i="6"/>
  <c r="AI177" i="6" s="1"/>
  <c r="AF178" i="6"/>
  <c r="AG178" i="6" s="1"/>
  <c r="AH178" i="6"/>
  <c r="AI178" i="6" s="1"/>
  <c r="AF179" i="6"/>
  <c r="AG179" i="6" s="1"/>
  <c r="AH179" i="6"/>
  <c r="AI179" i="6" s="1"/>
  <c r="AF180" i="6"/>
  <c r="AG180" i="6" s="1"/>
  <c r="AH180" i="6"/>
  <c r="AI180" i="6" s="1"/>
  <c r="AF181" i="6"/>
  <c r="AG181" i="6" s="1"/>
  <c r="AH181" i="6"/>
  <c r="AI181" i="6" s="1"/>
  <c r="AF182" i="6"/>
  <c r="AG182" i="6" s="1"/>
  <c r="AH182" i="6"/>
  <c r="AI182" i="6" s="1"/>
  <c r="AF183" i="6"/>
  <c r="AG183" i="6" s="1"/>
  <c r="AH183" i="6"/>
  <c r="AI183" i="6" s="1"/>
  <c r="AF184" i="6"/>
  <c r="AG184" i="6" s="1"/>
  <c r="AH184" i="6"/>
  <c r="AI184" i="6" s="1"/>
  <c r="AF185" i="6"/>
  <c r="AG185" i="6" s="1"/>
  <c r="AH185" i="6"/>
  <c r="AI185" i="6" s="1"/>
  <c r="AF186" i="6"/>
  <c r="AG186" i="6" s="1"/>
  <c r="AH186" i="6"/>
  <c r="AI186" i="6" s="1"/>
  <c r="AF187" i="6"/>
  <c r="AG187" i="6" s="1"/>
  <c r="AH187" i="6"/>
  <c r="AI187" i="6" s="1"/>
  <c r="AF188" i="6"/>
  <c r="AG188" i="6" s="1"/>
  <c r="AH188" i="6"/>
  <c r="AI188" i="6" s="1"/>
  <c r="AF189" i="6"/>
  <c r="AG189" i="6" s="1"/>
  <c r="AH189" i="6"/>
  <c r="AI189" i="6" s="1"/>
  <c r="AF190" i="6"/>
  <c r="AG190" i="6" s="1"/>
  <c r="AH190" i="6"/>
  <c r="AI190" i="6" s="1"/>
  <c r="AF191" i="6"/>
  <c r="AG191" i="6" s="1"/>
  <c r="AH191" i="6"/>
  <c r="AI191" i="6" s="1"/>
  <c r="AF192" i="6"/>
  <c r="AG192" i="6" s="1"/>
  <c r="AH192" i="6"/>
  <c r="AI192" i="6" s="1"/>
  <c r="AF194" i="6"/>
  <c r="AG194" i="6" s="1"/>
  <c r="AH194" i="6"/>
  <c r="AI194" i="6" s="1"/>
  <c r="AF195" i="6"/>
  <c r="AG195" i="6" s="1"/>
  <c r="AH195" i="6"/>
  <c r="AI195" i="6" s="1"/>
  <c r="AF196" i="6"/>
  <c r="AG196" i="6" s="1"/>
  <c r="AH196" i="6"/>
  <c r="AI196" i="6" s="1"/>
  <c r="AF197" i="6"/>
  <c r="AG197" i="6" s="1"/>
  <c r="AH197" i="6"/>
  <c r="AI197" i="6" s="1"/>
  <c r="AF198" i="6"/>
  <c r="AG198" i="6" s="1"/>
  <c r="AH198" i="6"/>
  <c r="AI198" i="6" s="1"/>
  <c r="AF199" i="6"/>
  <c r="AG199" i="6" s="1"/>
  <c r="AH199" i="6"/>
  <c r="AI199" i="6" s="1"/>
  <c r="AF200" i="6"/>
  <c r="AG200" i="6" s="1"/>
  <c r="AH200" i="6"/>
  <c r="AI200" i="6" s="1"/>
  <c r="AF201" i="6"/>
  <c r="AG201" i="6" s="1"/>
  <c r="AH201" i="6"/>
  <c r="AI201" i="6" s="1"/>
  <c r="AF193" i="6"/>
  <c r="AG193" i="6" s="1"/>
  <c r="AH193" i="6"/>
  <c r="AI193" i="6" s="1"/>
  <c r="AF202" i="6"/>
  <c r="AG202" i="6" s="1"/>
  <c r="AH202" i="6"/>
  <c r="AI202" i="6" s="1"/>
  <c r="AF203" i="6"/>
  <c r="AG203" i="6" s="1"/>
  <c r="AH203" i="6"/>
  <c r="AI203" i="6" s="1"/>
  <c r="AF204" i="6"/>
  <c r="AG204" i="6" s="1"/>
  <c r="AH204" i="6"/>
  <c r="AI204" i="6" s="1"/>
  <c r="AF205" i="6"/>
  <c r="AG205" i="6" s="1"/>
  <c r="AH205" i="6"/>
  <c r="AI205" i="6" s="1"/>
  <c r="AF206" i="6"/>
  <c r="AG206" i="6" s="1"/>
  <c r="AH206" i="6"/>
  <c r="AI206" i="6" s="1"/>
  <c r="AF207" i="6"/>
  <c r="AG207" i="6" s="1"/>
  <c r="AH207" i="6"/>
  <c r="AI207" i="6" s="1"/>
  <c r="AF208" i="6"/>
  <c r="AG208" i="6" s="1"/>
  <c r="AH208" i="6"/>
  <c r="AI208" i="6" s="1"/>
  <c r="AF209" i="6"/>
  <c r="AG209" i="6" s="1"/>
  <c r="AH209" i="6"/>
  <c r="AI209" i="6" s="1"/>
  <c r="AF210" i="6"/>
  <c r="AG210" i="6" s="1"/>
  <c r="AH210" i="6"/>
  <c r="AI210" i="6" s="1"/>
  <c r="AF211" i="6"/>
  <c r="AG211" i="6" s="1"/>
  <c r="AH211" i="6"/>
  <c r="AI211" i="6" s="1"/>
  <c r="AF212" i="6"/>
  <c r="AG212" i="6" s="1"/>
  <c r="AH212" i="6"/>
  <c r="AI212" i="6" s="1"/>
  <c r="AF213" i="6"/>
  <c r="AG213" i="6" s="1"/>
  <c r="AH213" i="6"/>
  <c r="AI213" i="6" s="1"/>
  <c r="AF214" i="6"/>
  <c r="AG214" i="6" s="1"/>
  <c r="AH214" i="6"/>
  <c r="AI214" i="6" s="1"/>
  <c r="AF215" i="6"/>
  <c r="AG215" i="6" s="1"/>
  <c r="AH215" i="6"/>
  <c r="AI215" i="6" s="1"/>
  <c r="AF216" i="6"/>
  <c r="AG216" i="6" s="1"/>
  <c r="AH216" i="6"/>
  <c r="AI216" i="6" s="1"/>
  <c r="AF217" i="6"/>
  <c r="AG217" i="6" s="1"/>
  <c r="AH217" i="6"/>
  <c r="AI217" i="6" s="1"/>
  <c r="AF218" i="6"/>
  <c r="AG218" i="6" s="1"/>
  <c r="AH218" i="6"/>
  <c r="AI218" i="6" s="1"/>
  <c r="AF219" i="6"/>
  <c r="AG219" i="6" s="1"/>
  <c r="AH219" i="6"/>
  <c r="AI219" i="6" s="1"/>
  <c r="AF220" i="6"/>
  <c r="AG220" i="6" s="1"/>
  <c r="AH220" i="6"/>
  <c r="AI220" i="6" s="1"/>
  <c r="AF221" i="6"/>
  <c r="AG221" i="6" s="1"/>
  <c r="AH221" i="6"/>
  <c r="AI221" i="6" s="1"/>
  <c r="AF222" i="6"/>
  <c r="AG222" i="6" s="1"/>
  <c r="AH222" i="6"/>
  <c r="AI222" i="6" s="1"/>
  <c r="AF223" i="6"/>
  <c r="AG223" i="6" s="1"/>
  <c r="AH223" i="6"/>
  <c r="AI223" i="6" s="1"/>
  <c r="AF224" i="6"/>
  <c r="AG224" i="6" s="1"/>
  <c r="AH224" i="6"/>
  <c r="AI224" i="6" s="1"/>
  <c r="AF225" i="6"/>
  <c r="AG225" i="6" s="1"/>
  <c r="AH225" i="6"/>
  <c r="AI225" i="6" s="1"/>
  <c r="AF226" i="6"/>
  <c r="AG226" i="6" s="1"/>
  <c r="AH226" i="6"/>
  <c r="AI226" i="6" s="1"/>
  <c r="AF227" i="6"/>
  <c r="AG227" i="6" s="1"/>
  <c r="AH227" i="6"/>
  <c r="AI227" i="6" s="1"/>
  <c r="AF228" i="6"/>
  <c r="AG228" i="6" s="1"/>
  <c r="AH228" i="6"/>
  <c r="AI228" i="6" s="1"/>
  <c r="AF229" i="6"/>
  <c r="AG229" i="6" s="1"/>
  <c r="AH229" i="6"/>
  <c r="AI229" i="6" s="1"/>
  <c r="AF231" i="6"/>
  <c r="AG231" i="6" s="1"/>
  <c r="AH231" i="6"/>
  <c r="AI231" i="6" s="1"/>
  <c r="AF232" i="6"/>
  <c r="AG232" i="6" s="1"/>
  <c r="AH232" i="6"/>
  <c r="AI232" i="6" s="1"/>
  <c r="AF233" i="6"/>
  <c r="AG233" i="6" s="1"/>
  <c r="AH233" i="6"/>
  <c r="AI233" i="6" s="1"/>
  <c r="AF234" i="6"/>
  <c r="AG234" i="6" s="1"/>
  <c r="AH234" i="6"/>
  <c r="AI234" i="6" s="1"/>
  <c r="AF235" i="6"/>
  <c r="AG235" i="6" s="1"/>
  <c r="AH235" i="6"/>
  <c r="AI235" i="6" s="1"/>
  <c r="AF230" i="6"/>
  <c r="AG230" i="6" s="1"/>
  <c r="AH230" i="6"/>
  <c r="AI230" i="6" s="1"/>
  <c r="AF236" i="6"/>
  <c r="AG236" i="6" s="1"/>
  <c r="AH236" i="6"/>
  <c r="AI236" i="6" s="1"/>
  <c r="AF238" i="6"/>
  <c r="AG238" i="6" s="1"/>
  <c r="AH238" i="6"/>
  <c r="AI238" i="6" s="1"/>
  <c r="AF237" i="6"/>
  <c r="AG237" i="6" s="1"/>
  <c r="AH237" i="6"/>
  <c r="AI237" i="6" s="1"/>
  <c r="AF239" i="6"/>
  <c r="AG239" i="6" s="1"/>
  <c r="AH239" i="6"/>
  <c r="AI239" i="6" s="1"/>
  <c r="AF240" i="6"/>
  <c r="AG240" i="6" s="1"/>
  <c r="AH240" i="6"/>
  <c r="AI240" i="6" s="1"/>
  <c r="AF241" i="6"/>
  <c r="AG241" i="6" s="1"/>
  <c r="AH241" i="6"/>
  <c r="AI241" i="6" s="1"/>
  <c r="AF242" i="6"/>
  <c r="AG242" i="6" s="1"/>
  <c r="AH242" i="6"/>
  <c r="AI242" i="6" s="1"/>
  <c r="AF243" i="6"/>
  <c r="AG243" i="6" s="1"/>
  <c r="AH243" i="6"/>
  <c r="AI243" i="6" s="1"/>
  <c r="AF244" i="6"/>
  <c r="AG244" i="6" s="1"/>
  <c r="AH244" i="6"/>
  <c r="AI244" i="6" s="1"/>
  <c r="AF245" i="6"/>
  <c r="AG245" i="6" s="1"/>
  <c r="AH245" i="6"/>
  <c r="AI245" i="6" s="1"/>
  <c r="AF246" i="6"/>
  <c r="AG246" i="6" s="1"/>
  <c r="AH246" i="6"/>
  <c r="AI246" i="6" s="1"/>
  <c r="AF247" i="6"/>
  <c r="AG247" i="6" s="1"/>
  <c r="AH247" i="6"/>
  <c r="AI247" i="6" s="1"/>
  <c r="AF249" i="6"/>
  <c r="AG249" i="6" s="1"/>
  <c r="AH249" i="6"/>
  <c r="AI249" i="6" s="1"/>
  <c r="AF251" i="6"/>
  <c r="AG251" i="6" s="1"/>
  <c r="AH251" i="6"/>
  <c r="AI251" i="6" s="1"/>
  <c r="AF252" i="6"/>
  <c r="AG252" i="6" s="1"/>
  <c r="AH252" i="6"/>
  <c r="AI252" i="6" s="1"/>
  <c r="AF253" i="6"/>
  <c r="AG253" i="6" s="1"/>
  <c r="AH253" i="6"/>
  <c r="AI253" i="6" s="1"/>
  <c r="AF254" i="6"/>
  <c r="AG254" i="6" s="1"/>
  <c r="AH254" i="6"/>
  <c r="AI254" i="6" s="1"/>
  <c r="AF255" i="6"/>
  <c r="AG255" i="6" s="1"/>
  <c r="AH255" i="6"/>
  <c r="AI255" i="6" s="1"/>
  <c r="AF248" i="6"/>
  <c r="AG248" i="6" s="1"/>
  <c r="AH248" i="6"/>
  <c r="AI248" i="6" s="1"/>
  <c r="AF256" i="6"/>
  <c r="AG256" i="6" s="1"/>
  <c r="AH256" i="6"/>
  <c r="AI256" i="6" s="1"/>
  <c r="AF257" i="6"/>
  <c r="AG257" i="6" s="1"/>
  <c r="AH257" i="6"/>
  <c r="AI257" i="6" s="1"/>
  <c r="AF258" i="6"/>
  <c r="AG258" i="6" s="1"/>
  <c r="AH258" i="6"/>
  <c r="AI258" i="6" s="1"/>
  <c r="AF250" i="6"/>
  <c r="AG250" i="6" s="1"/>
  <c r="AH250" i="6"/>
  <c r="AI250" i="6" s="1"/>
  <c r="AF259" i="6"/>
  <c r="AG259" i="6" s="1"/>
  <c r="AH259" i="6"/>
  <c r="AI259" i="6" s="1"/>
  <c r="AF260" i="6"/>
  <c r="AG260" i="6" s="1"/>
  <c r="AH260" i="6"/>
  <c r="AI260" i="6" s="1"/>
  <c r="AF261" i="6"/>
  <c r="AG261" i="6" s="1"/>
  <c r="AH261" i="6"/>
  <c r="AI261" i="6" s="1"/>
  <c r="AF262" i="6"/>
  <c r="AG262" i="6" s="1"/>
  <c r="AH262" i="6"/>
  <c r="AI262" i="6" s="1"/>
  <c r="AF263" i="6"/>
  <c r="AG263" i="6" s="1"/>
  <c r="AH263" i="6"/>
  <c r="AI263" i="6" s="1"/>
  <c r="AF264" i="6"/>
  <c r="AG264" i="6" s="1"/>
  <c r="AH264" i="6"/>
  <c r="AI264" i="6" s="1"/>
  <c r="AF265" i="6"/>
  <c r="AG265" i="6" s="1"/>
  <c r="AH265" i="6"/>
  <c r="AI265" i="6" s="1"/>
  <c r="AF266" i="6"/>
  <c r="AG266" i="6" s="1"/>
  <c r="AH266" i="6"/>
  <c r="AI266" i="6" s="1"/>
  <c r="AF267" i="6"/>
  <c r="AG267" i="6" s="1"/>
  <c r="AH267" i="6"/>
  <c r="AI267" i="6" s="1"/>
  <c r="AF268" i="6"/>
  <c r="AG268" i="6" s="1"/>
  <c r="AH268" i="6"/>
  <c r="AI268" i="6" s="1"/>
  <c r="AF269" i="6"/>
  <c r="AG269" i="6" s="1"/>
  <c r="AH269" i="6"/>
  <c r="AI269" i="6" s="1"/>
  <c r="AF270" i="6"/>
  <c r="AG270" i="6" s="1"/>
  <c r="AH270" i="6"/>
  <c r="AI270" i="6" s="1"/>
  <c r="AF271" i="6"/>
  <c r="AG271" i="6" s="1"/>
  <c r="AH271" i="6"/>
  <c r="AI271" i="6" s="1"/>
  <c r="AF272" i="6"/>
  <c r="AG272" i="6" s="1"/>
  <c r="AH272" i="6"/>
  <c r="AI272" i="6" s="1"/>
  <c r="AF273" i="6"/>
  <c r="AG273" i="6" s="1"/>
  <c r="AH273" i="6"/>
  <c r="AI273" i="6" s="1"/>
  <c r="AF274" i="6"/>
  <c r="AG274" i="6" s="1"/>
  <c r="AH274" i="6"/>
  <c r="AI274" i="6" s="1"/>
  <c r="AF275" i="6"/>
  <c r="AG275" i="6" s="1"/>
  <c r="AH275" i="6"/>
  <c r="AI275" i="6" s="1"/>
  <c r="AF276" i="6"/>
  <c r="AG276" i="6" s="1"/>
  <c r="AH276" i="6"/>
  <c r="AI276" i="6" s="1"/>
  <c r="AF277" i="6"/>
  <c r="AG277" i="6" s="1"/>
  <c r="AH277" i="6"/>
  <c r="AI277" i="6" s="1"/>
  <c r="AF278" i="6"/>
  <c r="AG278" i="6" s="1"/>
  <c r="AH278" i="6"/>
  <c r="AI278" i="6" s="1"/>
  <c r="AF279" i="6"/>
  <c r="AG279" i="6" s="1"/>
  <c r="AH279" i="6"/>
  <c r="AI279" i="6" s="1"/>
  <c r="AF280" i="6"/>
  <c r="AG280" i="6" s="1"/>
  <c r="AH280" i="6"/>
  <c r="AI280" i="6" s="1"/>
  <c r="AF281" i="6"/>
  <c r="AG281" i="6" s="1"/>
  <c r="AH281" i="6"/>
  <c r="AI281" i="6" s="1"/>
  <c r="AF282" i="6"/>
  <c r="AG282" i="6" s="1"/>
  <c r="AH282" i="6"/>
  <c r="AI282" i="6" s="1"/>
  <c r="AF283" i="6"/>
  <c r="AG283" i="6" s="1"/>
  <c r="AH283" i="6"/>
  <c r="AI283" i="6" s="1"/>
  <c r="AF284" i="6"/>
  <c r="AG284" i="6" s="1"/>
  <c r="AH284" i="6"/>
  <c r="AI284" i="6" s="1"/>
  <c r="AF285" i="6"/>
  <c r="AG285" i="6" s="1"/>
  <c r="AH285" i="6"/>
  <c r="AI285" i="6" s="1"/>
  <c r="AF286" i="6"/>
  <c r="AG286" i="6" s="1"/>
  <c r="AH286" i="6"/>
  <c r="AI286" i="6" s="1"/>
  <c r="AF287" i="6"/>
  <c r="AG287" i="6" s="1"/>
  <c r="AH287" i="6"/>
  <c r="AI287" i="6" s="1"/>
  <c r="AF289" i="6"/>
  <c r="AG289" i="6" s="1"/>
  <c r="AH289" i="6"/>
  <c r="AI289" i="6" s="1"/>
  <c r="AF288" i="6"/>
  <c r="AG288" i="6" s="1"/>
  <c r="AH288" i="6"/>
  <c r="AI288" i="6" s="1"/>
  <c r="AF290" i="6"/>
  <c r="AG290" i="6" s="1"/>
  <c r="AH290" i="6"/>
  <c r="AI290" i="6" s="1"/>
  <c r="AF291" i="6"/>
  <c r="AG291" i="6" s="1"/>
  <c r="AH291" i="6"/>
  <c r="AI291" i="6" s="1"/>
  <c r="AF292" i="6"/>
  <c r="AG292" i="6" s="1"/>
  <c r="AH292" i="6"/>
  <c r="AI292" i="6" s="1"/>
  <c r="AF293" i="6"/>
  <c r="AG293" i="6" s="1"/>
  <c r="AH293" i="6"/>
  <c r="AI293" i="6" s="1"/>
  <c r="AF294" i="6"/>
  <c r="AG294" i="6" s="1"/>
  <c r="AH294" i="6"/>
  <c r="AI294" i="6" s="1"/>
  <c r="AF295" i="6"/>
  <c r="AG295" i="6" s="1"/>
  <c r="AH295" i="6"/>
  <c r="AI295" i="6" s="1"/>
  <c r="AF296" i="6"/>
  <c r="AG296" i="6" s="1"/>
  <c r="AH296" i="6"/>
  <c r="AI296" i="6" s="1"/>
  <c r="AF297" i="6"/>
  <c r="AG297" i="6" s="1"/>
  <c r="AH297" i="6"/>
  <c r="AI297" i="6" s="1"/>
  <c r="AF298" i="6"/>
  <c r="AG298" i="6" s="1"/>
  <c r="AH298" i="6"/>
  <c r="AI298" i="6" s="1"/>
  <c r="AF299" i="6"/>
  <c r="AG299" i="6" s="1"/>
  <c r="AH299" i="6"/>
  <c r="AI299" i="6" s="1"/>
  <c r="AF300" i="6"/>
  <c r="AG300" i="6" s="1"/>
  <c r="AH300" i="6"/>
  <c r="AI300" i="6" s="1"/>
  <c r="AF301" i="6"/>
  <c r="AG301" i="6" s="1"/>
  <c r="AH301" i="6"/>
  <c r="AI301" i="6" s="1"/>
  <c r="AF302" i="6"/>
  <c r="AG302" i="6" s="1"/>
  <c r="AH302" i="6"/>
  <c r="AI302" i="6" s="1"/>
  <c r="AF303" i="6"/>
  <c r="AG303" i="6" s="1"/>
  <c r="AH303" i="6"/>
  <c r="AI303" i="6" s="1"/>
  <c r="AF304" i="6"/>
  <c r="AG304" i="6" s="1"/>
  <c r="AH304" i="6"/>
  <c r="AI304" i="6" s="1"/>
  <c r="AF305" i="6"/>
  <c r="AG305" i="6" s="1"/>
  <c r="AH305" i="6"/>
  <c r="AI305" i="6" s="1"/>
  <c r="AF306" i="6"/>
  <c r="AG306" i="6" s="1"/>
  <c r="AH306" i="6"/>
  <c r="AI306" i="6" s="1"/>
  <c r="AF307" i="6"/>
  <c r="AG307" i="6" s="1"/>
  <c r="AH307" i="6"/>
  <c r="AI307" i="6" s="1"/>
  <c r="AF308" i="6"/>
  <c r="AG308" i="6" s="1"/>
  <c r="AH308" i="6"/>
  <c r="AI308" i="6" s="1"/>
  <c r="AF309" i="6"/>
  <c r="AG309" i="6" s="1"/>
  <c r="AH309" i="6"/>
  <c r="AI309" i="6" s="1"/>
  <c r="AF310" i="6"/>
  <c r="AG310" i="6" s="1"/>
  <c r="AH310" i="6"/>
  <c r="AI310" i="6" s="1"/>
  <c r="AF311" i="6"/>
  <c r="AG311" i="6" s="1"/>
  <c r="AH311" i="6"/>
  <c r="AI311" i="6" s="1"/>
  <c r="AF312" i="6"/>
  <c r="AG312" i="6" s="1"/>
  <c r="AH312" i="6"/>
  <c r="AI312" i="6" s="1"/>
  <c r="AF313" i="6"/>
  <c r="AG313" i="6" s="1"/>
  <c r="AH313" i="6"/>
  <c r="AI313" i="6" s="1"/>
  <c r="AF314" i="6"/>
  <c r="AG314" i="6" s="1"/>
  <c r="AH314" i="6"/>
  <c r="AI314" i="6" s="1"/>
  <c r="AF315" i="6"/>
  <c r="AG315" i="6" s="1"/>
  <c r="AH315" i="6"/>
  <c r="AI315" i="6" s="1"/>
  <c r="AF316" i="6"/>
  <c r="AG316" i="6" s="1"/>
  <c r="AH316" i="6"/>
  <c r="AI316" i="6" s="1"/>
  <c r="AF317" i="6"/>
  <c r="AG317" i="6" s="1"/>
  <c r="AH317" i="6"/>
  <c r="AI317" i="6" s="1"/>
  <c r="AF318" i="6"/>
  <c r="AG318" i="6" s="1"/>
  <c r="AH318" i="6"/>
  <c r="AI318" i="6" s="1"/>
  <c r="AF319" i="6"/>
  <c r="AG319" i="6" s="1"/>
  <c r="AH319" i="6"/>
  <c r="AI319" i="6" s="1"/>
  <c r="AF320" i="6"/>
  <c r="AG320" i="6" s="1"/>
  <c r="AH320" i="6"/>
  <c r="AI320" i="6" s="1"/>
  <c r="AF321" i="6"/>
  <c r="AG321" i="6" s="1"/>
  <c r="AH321" i="6"/>
  <c r="AI321" i="6" s="1"/>
  <c r="AF322" i="6"/>
  <c r="AG322" i="6" s="1"/>
  <c r="AH322" i="6"/>
  <c r="AI322" i="6" s="1"/>
  <c r="AF323" i="6"/>
  <c r="AG323" i="6" s="1"/>
  <c r="AH323" i="6"/>
  <c r="AI323" i="6" s="1"/>
  <c r="AF324" i="6"/>
  <c r="AG324" i="6" s="1"/>
  <c r="AH324" i="6"/>
  <c r="AI324" i="6" s="1"/>
  <c r="AF325" i="6"/>
  <c r="AG325" i="6" s="1"/>
  <c r="AH325" i="6"/>
  <c r="AI325" i="6" s="1"/>
  <c r="AF326" i="6"/>
  <c r="AG326" i="6" s="1"/>
  <c r="AH326" i="6"/>
  <c r="AI326" i="6" s="1"/>
  <c r="AF327" i="6"/>
  <c r="AG327" i="6" s="1"/>
  <c r="AH327" i="6"/>
  <c r="AI327" i="6" s="1"/>
  <c r="AF328" i="6"/>
  <c r="AG328" i="6" s="1"/>
  <c r="AH328" i="6"/>
  <c r="AI328" i="6" s="1"/>
  <c r="AF329" i="6"/>
  <c r="AG329" i="6" s="1"/>
  <c r="AH329" i="6"/>
  <c r="AI329" i="6" s="1"/>
  <c r="AF330" i="6"/>
  <c r="AG330" i="6" s="1"/>
  <c r="AH330" i="6"/>
  <c r="AI330" i="6" s="1"/>
  <c r="AF331" i="6"/>
  <c r="AG331" i="6" s="1"/>
  <c r="AH331" i="6"/>
  <c r="AI331" i="6" s="1"/>
  <c r="AF332" i="6"/>
  <c r="AG332" i="6" s="1"/>
  <c r="AH332" i="6"/>
  <c r="AI332" i="6" s="1"/>
  <c r="AF333" i="6"/>
  <c r="AG333" i="6" s="1"/>
  <c r="AH333" i="6"/>
  <c r="AI333" i="6" s="1"/>
  <c r="AF334" i="6"/>
  <c r="AG334" i="6" s="1"/>
  <c r="AH334" i="6"/>
  <c r="AI334" i="6" s="1"/>
  <c r="AF335" i="6"/>
  <c r="AG335" i="6" s="1"/>
  <c r="AH335" i="6"/>
  <c r="AI335" i="6" s="1"/>
  <c r="AF336" i="6"/>
  <c r="AG336" i="6" s="1"/>
  <c r="AH336" i="6"/>
  <c r="AI336" i="6" s="1"/>
  <c r="AF337" i="6"/>
  <c r="AG337" i="6" s="1"/>
  <c r="AH337" i="6"/>
  <c r="AI337" i="6" s="1"/>
  <c r="AF338" i="6"/>
  <c r="AG338" i="6" s="1"/>
  <c r="AH338" i="6"/>
  <c r="AI338" i="6" s="1"/>
  <c r="AF339" i="6"/>
  <c r="AG339" i="6" s="1"/>
  <c r="AH339" i="6"/>
  <c r="AI339" i="6" s="1"/>
  <c r="AF340" i="6"/>
  <c r="AG340" i="6" s="1"/>
  <c r="AH340" i="6"/>
  <c r="AI340" i="6" s="1"/>
  <c r="AF341" i="6"/>
  <c r="AG341" i="6" s="1"/>
  <c r="AH341" i="6"/>
  <c r="AI341" i="6" s="1"/>
  <c r="AF342" i="6"/>
  <c r="AG342" i="6" s="1"/>
  <c r="AH342" i="6"/>
  <c r="AI342" i="6" s="1"/>
  <c r="AF343" i="6"/>
  <c r="AG343" i="6" s="1"/>
  <c r="AH343" i="6"/>
  <c r="AI343" i="6" s="1"/>
  <c r="AF344" i="6"/>
  <c r="AG344" i="6" s="1"/>
  <c r="AH344" i="6"/>
  <c r="AI344" i="6" s="1"/>
  <c r="AF345" i="6"/>
  <c r="AG345" i="6" s="1"/>
  <c r="AH345" i="6"/>
  <c r="AI345" i="6" s="1"/>
  <c r="AF346" i="6"/>
  <c r="AG346" i="6" s="1"/>
  <c r="AH346" i="6"/>
  <c r="AI346" i="6" s="1"/>
  <c r="AF347" i="6"/>
  <c r="AG347" i="6" s="1"/>
  <c r="AH347" i="6"/>
  <c r="AI347" i="6" s="1"/>
  <c r="AF348" i="6"/>
  <c r="AG348" i="6" s="1"/>
  <c r="AH348" i="6"/>
  <c r="AI348" i="6" s="1"/>
  <c r="AF349" i="6"/>
  <c r="AG349" i="6" s="1"/>
  <c r="AH349" i="6"/>
  <c r="AI349" i="6" s="1"/>
  <c r="AF350" i="6"/>
  <c r="AG350" i="6" s="1"/>
  <c r="AH350" i="6"/>
  <c r="AI350" i="6" s="1"/>
  <c r="AF351" i="6"/>
  <c r="AG351" i="6" s="1"/>
  <c r="AH351" i="6"/>
  <c r="AI351" i="6" s="1"/>
  <c r="AF352" i="6"/>
  <c r="AG352" i="6" s="1"/>
  <c r="AH352" i="6"/>
  <c r="AI352" i="6" s="1"/>
  <c r="AF353" i="6"/>
  <c r="AG353" i="6" s="1"/>
  <c r="AH353" i="6"/>
  <c r="AI353" i="6" s="1"/>
  <c r="AF354" i="6"/>
  <c r="AG354" i="6" s="1"/>
  <c r="AH354" i="6"/>
  <c r="AI354" i="6" s="1"/>
  <c r="AF355" i="6"/>
  <c r="AG355" i="6" s="1"/>
  <c r="AH355" i="6"/>
  <c r="AI355" i="6" s="1"/>
  <c r="AF356" i="6"/>
  <c r="AG356" i="6" s="1"/>
  <c r="AH356" i="6"/>
  <c r="AI356" i="6" s="1"/>
  <c r="AF357" i="6"/>
  <c r="AG357" i="6" s="1"/>
  <c r="AH357" i="6"/>
  <c r="AI357" i="6" s="1"/>
  <c r="AF358" i="6"/>
  <c r="AG358" i="6" s="1"/>
  <c r="AH358" i="6"/>
  <c r="AI358" i="6" s="1"/>
  <c r="AF359" i="6"/>
  <c r="AG359" i="6" s="1"/>
  <c r="AH359" i="6"/>
  <c r="AI359" i="6" s="1"/>
  <c r="AF360" i="6"/>
  <c r="AG360" i="6" s="1"/>
  <c r="AH360" i="6"/>
  <c r="AI360" i="6" s="1"/>
  <c r="AF361" i="6"/>
  <c r="AG361" i="6" s="1"/>
  <c r="AH361" i="6"/>
  <c r="AI361" i="6" s="1"/>
  <c r="AF362" i="6"/>
  <c r="AG362" i="6" s="1"/>
  <c r="AH362" i="6"/>
  <c r="AI362" i="6" s="1"/>
  <c r="AF363" i="6"/>
  <c r="AG363" i="6" s="1"/>
  <c r="AH363" i="6"/>
  <c r="AI363" i="6" s="1"/>
  <c r="AF364" i="6"/>
  <c r="AG364" i="6" s="1"/>
  <c r="AH364" i="6"/>
  <c r="AI364" i="6" s="1"/>
  <c r="AF365" i="6"/>
  <c r="AG365" i="6" s="1"/>
  <c r="AH365" i="6"/>
  <c r="AI365" i="6" s="1"/>
  <c r="AF366" i="6"/>
  <c r="AG366" i="6" s="1"/>
  <c r="AH366" i="6"/>
  <c r="AI366" i="6" s="1"/>
  <c r="AF367" i="6"/>
  <c r="AG367" i="6" s="1"/>
  <c r="AH367" i="6"/>
  <c r="AI367" i="6" s="1"/>
  <c r="AF368" i="6"/>
  <c r="AG368" i="6" s="1"/>
  <c r="AH368" i="6"/>
  <c r="AI368" i="6" s="1"/>
  <c r="AF369" i="6"/>
  <c r="AG369" i="6" s="1"/>
  <c r="AH369" i="6"/>
  <c r="AI369" i="6" s="1"/>
  <c r="AF370" i="6"/>
  <c r="AG370" i="6" s="1"/>
  <c r="AH370" i="6"/>
  <c r="AI370" i="6" s="1"/>
  <c r="AF371" i="6"/>
  <c r="AG371" i="6" s="1"/>
  <c r="AH371" i="6"/>
  <c r="AI371" i="6" s="1"/>
  <c r="AF372" i="6"/>
  <c r="AG372" i="6" s="1"/>
  <c r="AH372" i="6"/>
  <c r="AI372" i="6" s="1"/>
  <c r="AF374" i="6"/>
  <c r="AG374" i="6" s="1"/>
  <c r="AH374" i="6"/>
  <c r="AI374" i="6" s="1"/>
  <c r="AF376" i="6"/>
  <c r="AG376" i="6" s="1"/>
  <c r="AH376" i="6"/>
  <c r="AI376" i="6" s="1"/>
  <c r="AF377" i="6"/>
  <c r="AG377" i="6" s="1"/>
  <c r="AH377" i="6"/>
  <c r="AI377" i="6" s="1"/>
  <c r="AF373" i="6"/>
  <c r="AG373" i="6" s="1"/>
  <c r="AH373" i="6"/>
  <c r="AI373" i="6" s="1"/>
  <c r="AF375" i="6"/>
  <c r="AG375" i="6" s="1"/>
  <c r="AH375" i="6"/>
  <c r="AI375" i="6" s="1"/>
  <c r="AF378" i="6"/>
  <c r="AG378" i="6" s="1"/>
  <c r="AH378" i="6"/>
  <c r="AI378" i="6" s="1"/>
  <c r="AF379" i="6"/>
  <c r="AG379" i="6" s="1"/>
  <c r="AH379" i="6"/>
  <c r="AI379" i="6" s="1"/>
  <c r="AF380" i="6"/>
  <c r="AG380" i="6" s="1"/>
  <c r="AH380" i="6"/>
  <c r="AI380" i="6" s="1"/>
  <c r="AF381" i="6"/>
  <c r="AG381" i="6" s="1"/>
  <c r="AH381" i="6"/>
  <c r="AI381" i="6" s="1"/>
  <c r="AF382" i="6"/>
  <c r="AG382" i="6" s="1"/>
  <c r="AH382" i="6"/>
  <c r="AI382" i="6" s="1"/>
  <c r="AF383" i="6"/>
  <c r="AG383" i="6" s="1"/>
  <c r="AH383" i="6"/>
  <c r="AI383" i="6" s="1"/>
  <c r="AF384" i="6"/>
  <c r="AG384" i="6" s="1"/>
  <c r="AH384" i="6"/>
  <c r="AI384" i="6" s="1"/>
  <c r="AF385" i="6"/>
  <c r="AG385" i="6" s="1"/>
  <c r="AH385" i="6"/>
  <c r="AI385" i="6" s="1"/>
  <c r="AF386" i="6"/>
  <c r="AG386" i="6" s="1"/>
  <c r="AH386" i="6"/>
  <c r="AI386" i="6" s="1"/>
  <c r="AF387" i="6"/>
  <c r="AG387" i="6" s="1"/>
  <c r="AH387" i="6"/>
  <c r="AI387" i="6" s="1"/>
  <c r="AF395" i="6"/>
  <c r="AG395" i="6" s="1"/>
  <c r="AH395" i="6"/>
  <c r="AI395" i="6" s="1"/>
  <c r="AF388" i="6"/>
  <c r="AG388" i="6" s="1"/>
  <c r="AH388" i="6"/>
  <c r="AI388" i="6" s="1"/>
  <c r="AF428" i="6"/>
  <c r="AG428" i="6" s="1"/>
  <c r="AH428" i="6"/>
  <c r="AI428" i="6" s="1"/>
  <c r="AF389" i="6"/>
  <c r="AG389" i="6" s="1"/>
  <c r="AH389" i="6"/>
  <c r="AI389" i="6" s="1"/>
  <c r="AF390" i="6"/>
  <c r="AG390" i="6" s="1"/>
  <c r="AH390" i="6"/>
  <c r="AI390" i="6" s="1"/>
  <c r="AF391" i="6"/>
  <c r="AG391" i="6" s="1"/>
  <c r="AH391" i="6"/>
  <c r="AI391" i="6" s="1"/>
  <c r="AF392" i="6"/>
  <c r="AG392" i="6" s="1"/>
  <c r="AH392" i="6"/>
  <c r="AI392" i="6" s="1"/>
  <c r="AF393" i="6"/>
  <c r="AG393" i="6" s="1"/>
  <c r="AH393" i="6"/>
  <c r="AI393" i="6" s="1"/>
  <c r="AF394" i="6"/>
  <c r="AG394" i="6" s="1"/>
  <c r="AH394" i="6"/>
  <c r="AI394" i="6" s="1"/>
  <c r="AF396" i="6"/>
  <c r="AG396" i="6" s="1"/>
  <c r="AH396" i="6"/>
  <c r="AI396" i="6" s="1"/>
  <c r="AF397" i="6"/>
  <c r="AG397" i="6" s="1"/>
  <c r="AH397" i="6"/>
  <c r="AI397" i="6" s="1"/>
  <c r="AF398" i="6"/>
  <c r="AG398" i="6" s="1"/>
  <c r="AH398" i="6"/>
  <c r="AI398" i="6" s="1"/>
  <c r="AF399" i="6"/>
  <c r="AG399" i="6" s="1"/>
  <c r="AH399" i="6"/>
  <c r="AI399" i="6" s="1"/>
  <c r="AF400" i="6"/>
  <c r="AG400" i="6" s="1"/>
  <c r="AH400" i="6"/>
  <c r="AI400" i="6" s="1"/>
  <c r="AF401" i="6"/>
  <c r="AG401" i="6" s="1"/>
  <c r="AH401" i="6"/>
  <c r="AI401" i="6" s="1"/>
  <c r="AF402" i="6"/>
  <c r="AG402" i="6" s="1"/>
  <c r="AH402" i="6"/>
  <c r="AI402" i="6" s="1"/>
  <c r="AF403" i="6"/>
  <c r="AG403" i="6" s="1"/>
  <c r="AH403" i="6"/>
  <c r="AI403" i="6" s="1"/>
  <c r="AF404" i="6"/>
  <c r="AG404" i="6" s="1"/>
  <c r="AH404" i="6"/>
  <c r="AI404" i="6" s="1"/>
  <c r="AF405" i="6"/>
  <c r="AG405" i="6" s="1"/>
  <c r="AH405" i="6"/>
  <c r="AI405" i="6" s="1"/>
  <c r="AF406" i="6"/>
  <c r="AG406" i="6" s="1"/>
  <c r="AH406" i="6"/>
  <c r="AI406" i="6" s="1"/>
  <c r="AF407" i="6"/>
  <c r="AG407" i="6" s="1"/>
  <c r="AH407" i="6"/>
  <c r="AI407" i="6" s="1"/>
  <c r="AF408" i="6"/>
  <c r="AG408" i="6" s="1"/>
  <c r="AH408" i="6"/>
  <c r="AI408" i="6" s="1"/>
  <c r="AF409" i="6"/>
  <c r="AG409" i="6" s="1"/>
  <c r="AH409" i="6"/>
  <c r="AI409" i="6" s="1"/>
  <c r="AF410" i="6"/>
  <c r="AG410" i="6" s="1"/>
  <c r="AH410" i="6"/>
  <c r="AI410" i="6" s="1"/>
  <c r="AF411" i="6"/>
  <c r="AG411" i="6" s="1"/>
  <c r="AH411" i="6"/>
  <c r="AI411" i="6" s="1"/>
  <c r="AF412" i="6"/>
  <c r="AG412" i="6" s="1"/>
  <c r="AH412" i="6"/>
  <c r="AI412" i="6" s="1"/>
  <c r="AF413" i="6"/>
  <c r="AG413" i="6" s="1"/>
  <c r="AH413" i="6"/>
  <c r="AI413" i="6" s="1"/>
  <c r="AF414" i="6"/>
  <c r="AG414" i="6" s="1"/>
  <c r="AH414" i="6"/>
  <c r="AI414" i="6" s="1"/>
  <c r="AF415" i="6"/>
  <c r="AG415" i="6" s="1"/>
  <c r="AH415" i="6"/>
  <c r="AI415" i="6" s="1"/>
  <c r="AF417" i="6"/>
  <c r="AG417" i="6" s="1"/>
  <c r="AH417" i="6"/>
  <c r="AI417" i="6" s="1"/>
  <c r="AF418" i="6"/>
  <c r="AG418" i="6" s="1"/>
  <c r="AH418" i="6"/>
  <c r="AI418" i="6" s="1"/>
  <c r="AF419" i="6"/>
  <c r="AG419" i="6" s="1"/>
  <c r="AH419" i="6"/>
  <c r="AI419" i="6" s="1"/>
  <c r="AF420" i="6"/>
  <c r="AG420" i="6" s="1"/>
  <c r="AH420" i="6"/>
  <c r="AI420" i="6" s="1"/>
  <c r="AF421" i="6"/>
  <c r="AG421" i="6" s="1"/>
  <c r="AH421" i="6"/>
  <c r="AI421" i="6" s="1"/>
  <c r="AF422" i="6"/>
  <c r="AG422" i="6" s="1"/>
  <c r="AH422" i="6"/>
  <c r="AI422" i="6" s="1"/>
  <c r="AF423" i="6"/>
  <c r="AG423" i="6" s="1"/>
  <c r="AH423" i="6"/>
  <c r="AI423" i="6" s="1"/>
  <c r="AF424" i="6"/>
  <c r="AG424" i="6" s="1"/>
  <c r="AH424" i="6"/>
  <c r="AI424" i="6" s="1"/>
  <c r="AF425" i="6"/>
  <c r="AG425" i="6" s="1"/>
  <c r="AH425" i="6"/>
  <c r="AI425" i="6" s="1"/>
  <c r="AF426" i="6"/>
  <c r="AG426" i="6" s="1"/>
  <c r="AH426" i="6"/>
  <c r="AI426" i="6" s="1"/>
  <c r="AF427" i="6"/>
  <c r="AG427" i="6" s="1"/>
  <c r="AH427" i="6"/>
  <c r="AI427" i="6" s="1"/>
  <c r="AF429" i="6"/>
  <c r="AG429" i="6" s="1"/>
  <c r="AH429" i="6"/>
  <c r="AI429" i="6" s="1"/>
  <c r="AF430" i="6"/>
  <c r="AG430" i="6" s="1"/>
  <c r="AH430" i="6"/>
  <c r="AI430" i="6" s="1"/>
  <c r="AF431" i="6"/>
  <c r="AG431" i="6" s="1"/>
  <c r="AH431" i="6"/>
  <c r="AI431" i="6" s="1"/>
  <c r="AF432" i="6"/>
  <c r="AG432" i="6" s="1"/>
  <c r="AH432" i="6"/>
  <c r="AI432" i="6" s="1"/>
  <c r="AF416" i="6"/>
  <c r="AG416" i="6" s="1"/>
  <c r="AH416" i="6"/>
  <c r="AI416" i="6" s="1"/>
  <c r="AF433" i="6"/>
  <c r="AG433" i="6" s="1"/>
  <c r="AH433" i="6"/>
  <c r="AI433" i="6" s="1"/>
  <c r="AF434" i="6"/>
  <c r="AG434" i="6" s="1"/>
  <c r="AH434" i="6"/>
  <c r="AI434" i="6" s="1"/>
  <c r="AF435" i="6"/>
  <c r="AG435" i="6" s="1"/>
  <c r="AH435" i="6"/>
  <c r="AI435" i="6" s="1"/>
  <c r="AF436" i="6"/>
  <c r="AG436" i="6" s="1"/>
  <c r="AH436" i="6"/>
  <c r="AI436" i="6" s="1"/>
  <c r="AF437" i="6"/>
  <c r="AG437" i="6" s="1"/>
  <c r="AH437" i="6"/>
  <c r="AI437" i="6" s="1"/>
  <c r="AF438" i="6"/>
  <c r="AG438" i="6" s="1"/>
  <c r="AH438" i="6"/>
  <c r="AI438" i="6" s="1"/>
  <c r="AF439" i="6"/>
  <c r="AG439" i="6" s="1"/>
  <c r="AH439" i="6"/>
  <c r="AI439" i="6" s="1"/>
  <c r="AF440" i="6"/>
  <c r="AG440" i="6" s="1"/>
  <c r="AH440" i="6"/>
  <c r="AI440" i="6" s="1"/>
  <c r="AF441" i="6"/>
  <c r="AG441" i="6" s="1"/>
  <c r="AH441" i="6"/>
  <c r="AI441" i="6" s="1"/>
  <c r="AF442" i="6"/>
  <c r="AG442" i="6" s="1"/>
  <c r="AH442" i="6"/>
  <c r="AI442" i="6" s="1"/>
  <c r="AF443" i="6"/>
  <c r="AG443" i="6" s="1"/>
  <c r="AH443" i="6"/>
  <c r="AI443" i="6" s="1"/>
  <c r="AF444" i="6"/>
  <c r="AG444" i="6" s="1"/>
  <c r="AH444" i="6"/>
  <c r="AI444" i="6" s="1"/>
  <c r="AF445" i="6"/>
  <c r="AG445" i="6" s="1"/>
  <c r="AH445" i="6"/>
  <c r="AI445" i="6" s="1"/>
  <c r="AF447" i="6"/>
  <c r="AG447" i="6" s="1"/>
  <c r="AH447" i="6"/>
  <c r="AI447" i="6" s="1"/>
  <c r="AF449" i="6"/>
  <c r="AG449" i="6" s="1"/>
  <c r="AH449" i="6"/>
  <c r="AI449" i="6" s="1"/>
  <c r="AF450" i="6"/>
  <c r="AG450" i="6" s="1"/>
  <c r="AH450" i="6"/>
  <c r="AI450" i="6" s="1"/>
  <c r="AF451" i="6"/>
  <c r="AG451" i="6" s="1"/>
  <c r="AH451" i="6"/>
  <c r="AI451" i="6" s="1"/>
  <c r="AF452" i="6"/>
  <c r="AG452" i="6" s="1"/>
  <c r="AH452" i="6"/>
  <c r="AI452" i="6" s="1"/>
  <c r="AF446" i="6"/>
  <c r="AG446" i="6" s="1"/>
  <c r="AH446" i="6"/>
  <c r="AI446" i="6" s="1"/>
  <c r="AF453" i="6"/>
  <c r="AG453" i="6" s="1"/>
  <c r="AH453" i="6"/>
  <c r="AI453" i="6" s="1"/>
  <c r="AF454" i="6"/>
  <c r="AG454" i="6" s="1"/>
  <c r="AH454" i="6"/>
  <c r="AI454" i="6" s="1"/>
  <c r="AF455" i="6"/>
  <c r="AG455" i="6" s="1"/>
  <c r="AH455" i="6"/>
  <c r="AI455" i="6" s="1"/>
  <c r="AF448" i="6"/>
  <c r="AG448" i="6" s="1"/>
  <c r="AH448" i="6"/>
  <c r="AI448" i="6" s="1"/>
  <c r="AF456" i="6"/>
  <c r="AG456" i="6" s="1"/>
  <c r="AH456" i="6"/>
  <c r="AI456" i="6" s="1"/>
  <c r="AF457" i="6"/>
  <c r="AG457" i="6" s="1"/>
  <c r="AH457" i="6"/>
  <c r="AI457" i="6" s="1"/>
  <c r="AF458" i="6"/>
  <c r="AG458" i="6" s="1"/>
  <c r="AH458" i="6"/>
  <c r="AI458" i="6" s="1"/>
  <c r="AF459" i="6"/>
  <c r="AG459" i="6" s="1"/>
  <c r="AH459" i="6"/>
  <c r="AI459" i="6" s="1"/>
  <c r="AF460" i="6"/>
  <c r="AG460" i="6" s="1"/>
  <c r="AH460" i="6"/>
  <c r="AI460" i="6" s="1"/>
  <c r="AF461" i="6"/>
  <c r="AG461" i="6" s="1"/>
  <c r="AH461" i="6"/>
  <c r="AI461" i="6" s="1"/>
  <c r="AF462" i="6"/>
  <c r="AG462" i="6" s="1"/>
  <c r="AH462" i="6"/>
  <c r="AI462" i="6" s="1"/>
  <c r="AF463" i="6"/>
  <c r="AG463" i="6" s="1"/>
  <c r="AH463" i="6"/>
  <c r="AI463" i="6" s="1"/>
  <c r="AF464" i="6"/>
  <c r="AG464" i="6" s="1"/>
  <c r="AH464" i="6"/>
  <c r="AI464" i="6" s="1"/>
  <c r="AF465" i="6"/>
  <c r="AG465" i="6" s="1"/>
  <c r="AH465" i="6"/>
  <c r="AI465" i="6" s="1"/>
  <c r="AF466" i="6"/>
  <c r="AG466" i="6" s="1"/>
  <c r="AH466" i="6"/>
  <c r="AI466" i="6" s="1"/>
  <c r="AF468" i="6"/>
  <c r="AG468" i="6" s="1"/>
  <c r="AH468" i="6"/>
  <c r="AI468" i="6" s="1"/>
  <c r="AF469" i="6"/>
  <c r="AG469" i="6" s="1"/>
  <c r="AH469" i="6"/>
  <c r="AI469" i="6" s="1"/>
  <c r="AF470" i="6"/>
  <c r="AG470" i="6" s="1"/>
  <c r="AH470" i="6"/>
  <c r="AI470" i="6" s="1"/>
  <c r="AF467" i="6"/>
  <c r="AG467" i="6" s="1"/>
  <c r="AH467" i="6"/>
  <c r="AI467" i="6" s="1"/>
  <c r="AF471" i="6"/>
  <c r="AG471" i="6" s="1"/>
  <c r="AH471" i="6"/>
  <c r="AI471" i="6" s="1"/>
  <c r="AF472" i="6"/>
  <c r="AG472" i="6" s="1"/>
  <c r="AH472" i="6"/>
  <c r="AI472" i="6" s="1"/>
  <c r="AF473" i="6"/>
  <c r="AG473" i="6" s="1"/>
  <c r="AH473" i="6"/>
  <c r="AI473" i="6" s="1"/>
  <c r="AF474" i="6"/>
  <c r="AG474" i="6" s="1"/>
  <c r="AH474" i="6"/>
  <c r="AI474" i="6" s="1"/>
  <c r="AF476" i="6"/>
  <c r="AG476" i="6" s="1"/>
  <c r="AH476" i="6"/>
  <c r="AI476" i="6" s="1"/>
  <c r="AF477" i="6"/>
  <c r="AG477" i="6" s="1"/>
  <c r="AH477" i="6"/>
  <c r="AI477" i="6" s="1"/>
  <c r="AF479" i="6"/>
  <c r="AG479" i="6" s="1"/>
  <c r="AH479" i="6"/>
  <c r="AI479" i="6" s="1"/>
  <c r="AF480" i="6"/>
  <c r="AG480" i="6" s="1"/>
  <c r="AH480" i="6"/>
  <c r="AI480" i="6" s="1"/>
  <c r="AF482" i="6"/>
  <c r="AG482" i="6" s="1"/>
  <c r="AH482" i="6"/>
  <c r="AI482" i="6" s="1"/>
  <c r="AF483" i="6"/>
  <c r="AG483" i="6" s="1"/>
  <c r="AH483" i="6"/>
  <c r="AI483" i="6" s="1"/>
  <c r="AF475" i="6"/>
  <c r="AG475" i="6" s="1"/>
  <c r="AH475" i="6"/>
  <c r="AI475" i="6" s="1"/>
  <c r="AF484" i="6"/>
  <c r="AG484" i="6" s="1"/>
  <c r="AH484" i="6"/>
  <c r="AI484" i="6" s="1"/>
  <c r="AF485" i="6"/>
  <c r="AG485" i="6" s="1"/>
  <c r="AH485" i="6"/>
  <c r="AI485" i="6" s="1"/>
  <c r="AF478" i="6"/>
  <c r="AG478" i="6" s="1"/>
  <c r="AH478" i="6"/>
  <c r="AI478" i="6" s="1"/>
  <c r="AF486" i="6"/>
  <c r="AG486" i="6" s="1"/>
  <c r="AH486" i="6"/>
  <c r="AI486" i="6" s="1"/>
  <c r="AF481" i="6"/>
  <c r="AG481" i="6" s="1"/>
  <c r="AH481" i="6"/>
  <c r="AI481" i="6" s="1"/>
  <c r="AF487" i="6"/>
  <c r="AG487" i="6" s="1"/>
  <c r="AH487" i="6"/>
  <c r="AI487" i="6" s="1"/>
  <c r="AF488" i="6"/>
  <c r="AG488" i="6" s="1"/>
  <c r="AH488" i="6"/>
  <c r="AI488" i="6" s="1"/>
  <c r="AF489" i="6"/>
  <c r="AG489" i="6" s="1"/>
  <c r="AH489" i="6"/>
  <c r="AI489" i="6" s="1"/>
  <c r="AF490" i="6"/>
  <c r="AG490" i="6" s="1"/>
  <c r="AH490" i="6"/>
  <c r="AI490" i="6" s="1"/>
  <c r="AF491" i="6"/>
  <c r="AG491" i="6" s="1"/>
  <c r="AH491" i="6"/>
  <c r="AI491" i="6" s="1"/>
  <c r="AF492" i="6"/>
  <c r="AG492" i="6" s="1"/>
  <c r="AH492" i="6"/>
  <c r="AI492" i="6" s="1"/>
  <c r="AF493" i="6"/>
  <c r="AG493" i="6" s="1"/>
  <c r="AH493" i="6"/>
  <c r="AI493" i="6" s="1"/>
  <c r="AF494" i="6"/>
  <c r="AG494" i="6" s="1"/>
  <c r="AH494" i="6"/>
  <c r="AI494" i="6" s="1"/>
  <c r="AF495" i="6"/>
  <c r="AG495" i="6" s="1"/>
  <c r="AH495" i="6"/>
  <c r="AI495" i="6" s="1"/>
  <c r="AF496" i="6"/>
  <c r="AG496" i="6" s="1"/>
  <c r="AH496" i="6"/>
  <c r="AI496" i="6" s="1"/>
  <c r="AF497" i="6"/>
  <c r="AG497" i="6" s="1"/>
  <c r="AH497" i="6"/>
  <c r="AI497" i="6" s="1"/>
  <c r="AF498" i="6"/>
  <c r="AG498" i="6" s="1"/>
  <c r="AH498" i="6"/>
  <c r="AI498" i="6" s="1"/>
  <c r="AF499" i="6"/>
  <c r="AG499" i="6" s="1"/>
  <c r="AH499" i="6"/>
  <c r="AI499" i="6" s="1"/>
  <c r="AF500" i="6"/>
  <c r="AG500" i="6" s="1"/>
  <c r="AH500" i="6"/>
  <c r="AI500" i="6" s="1"/>
  <c r="AF501" i="6"/>
  <c r="AG501" i="6" s="1"/>
  <c r="AH501" i="6"/>
  <c r="AI501" i="6" s="1"/>
  <c r="AF502" i="6"/>
  <c r="AG502" i="6" s="1"/>
  <c r="AH502" i="6"/>
  <c r="AI502" i="6" s="1"/>
  <c r="AF503" i="6"/>
  <c r="AG503" i="6" s="1"/>
  <c r="AH503" i="6"/>
  <c r="AI503" i="6" s="1"/>
  <c r="AF504" i="6"/>
  <c r="AG504" i="6" s="1"/>
  <c r="AH504" i="6"/>
  <c r="AI504" i="6" s="1"/>
  <c r="AF505" i="6"/>
  <c r="AG505" i="6" s="1"/>
  <c r="AH505" i="6"/>
  <c r="AI505" i="6" s="1"/>
  <c r="AF506" i="6"/>
  <c r="AG506" i="6" s="1"/>
  <c r="AH506" i="6"/>
  <c r="AI506" i="6" s="1"/>
  <c r="AF507" i="6"/>
  <c r="AG507" i="6" s="1"/>
  <c r="AH507" i="6"/>
  <c r="AI507" i="6" s="1"/>
  <c r="AF508" i="6"/>
  <c r="AG508" i="6" s="1"/>
  <c r="AH508" i="6"/>
  <c r="AI508" i="6" s="1"/>
  <c r="AF509" i="6"/>
  <c r="AG509" i="6" s="1"/>
  <c r="AH509" i="6"/>
  <c r="AI509" i="6" s="1"/>
  <c r="AF510" i="6"/>
  <c r="AG510" i="6" s="1"/>
  <c r="AH510" i="6"/>
  <c r="AI510" i="6" s="1"/>
  <c r="AF511" i="6"/>
  <c r="AG511" i="6" s="1"/>
  <c r="AH511" i="6"/>
  <c r="AI511" i="6" s="1"/>
  <c r="AF512" i="6"/>
  <c r="AG512" i="6" s="1"/>
  <c r="AH512" i="6"/>
  <c r="AI512" i="6" s="1"/>
  <c r="AF513" i="6"/>
  <c r="AG513" i="6" s="1"/>
  <c r="AH513" i="6"/>
  <c r="AI513" i="6" s="1"/>
  <c r="AF514" i="6"/>
  <c r="AG514" i="6" s="1"/>
  <c r="AH514" i="6"/>
  <c r="AI514" i="6" s="1"/>
  <c r="AF515" i="6"/>
  <c r="AG515" i="6" s="1"/>
  <c r="AH515" i="6"/>
  <c r="AI515" i="6" s="1"/>
  <c r="AF516" i="6"/>
  <c r="AG516" i="6" s="1"/>
  <c r="AH516" i="6"/>
  <c r="AI516" i="6" s="1"/>
  <c r="AF517" i="6"/>
  <c r="AG517" i="6" s="1"/>
  <c r="AH517" i="6"/>
  <c r="AI517" i="6" s="1"/>
  <c r="AF518" i="6"/>
  <c r="AG518" i="6" s="1"/>
  <c r="AH518" i="6"/>
  <c r="AI518" i="6" s="1"/>
  <c r="AF519" i="6"/>
  <c r="AG519" i="6" s="1"/>
  <c r="AH519" i="6"/>
  <c r="AI519" i="6" s="1"/>
  <c r="AF520" i="6"/>
  <c r="AG520" i="6" s="1"/>
  <c r="AH520" i="6"/>
  <c r="AI520" i="6" s="1"/>
  <c r="AF521" i="6"/>
  <c r="AG521" i="6" s="1"/>
  <c r="AH521" i="6"/>
  <c r="AI521" i="6" s="1"/>
  <c r="AF522" i="6"/>
  <c r="AG522" i="6" s="1"/>
  <c r="AH522" i="6"/>
  <c r="AI522" i="6" s="1"/>
  <c r="AF523" i="6"/>
  <c r="AG523" i="6" s="1"/>
  <c r="AH523" i="6"/>
  <c r="AI523" i="6" s="1"/>
  <c r="AF524" i="6"/>
  <c r="AG524" i="6" s="1"/>
  <c r="AH524" i="6"/>
  <c r="AI524" i="6" s="1"/>
  <c r="AF525" i="6"/>
  <c r="AG525" i="6" s="1"/>
  <c r="AH525" i="6"/>
  <c r="AI525" i="6" s="1"/>
  <c r="AF526" i="6"/>
  <c r="AG526" i="6" s="1"/>
  <c r="AH526" i="6"/>
  <c r="AI526" i="6" s="1"/>
  <c r="AF527" i="6"/>
  <c r="AG527" i="6" s="1"/>
  <c r="AH527" i="6"/>
  <c r="AI527" i="6" s="1"/>
  <c r="AF528" i="6"/>
  <c r="AG528" i="6" s="1"/>
  <c r="AH528" i="6"/>
  <c r="AI528" i="6" s="1"/>
  <c r="AF529" i="6"/>
  <c r="AG529" i="6" s="1"/>
  <c r="AH529" i="6"/>
  <c r="AI529" i="6" s="1"/>
  <c r="AF530" i="6"/>
  <c r="AG530" i="6" s="1"/>
  <c r="AH530" i="6"/>
  <c r="AI530" i="6" s="1"/>
  <c r="AF531" i="6"/>
  <c r="AG531" i="6" s="1"/>
  <c r="AH531" i="6"/>
  <c r="AI531" i="6" s="1"/>
  <c r="AF532" i="6"/>
  <c r="AG532" i="6" s="1"/>
  <c r="AH532" i="6"/>
  <c r="AI532" i="6" s="1"/>
  <c r="AF533" i="6"/>
  <c r="AG533" i="6" s="1"/>
  <c r="AH533" i="6"/>
  <c r="AI533" i="6" s="1"/>
  <c r="AF534" i="6"/>
  <c r="AG534" i="6" s="1"/>
  <c r="AH534" i="6"/>
  <c r="AI534" i="6" s="1"/>
  <c r="AF535" i="6"/>
  <c r="AG535" i="6" s="1"/>
  <c r="AH535" i="6"/>
  <c r="AI535" i="6" s="1"/>
  <c r="AF536" i="6"/>
  <c r="AG536" i="6" s="1"/>
  <c r="AH536" i="6"/>
  <c r="AI536" i="6" s="1"/>
  <c r="AF537" i="6"/>
  <c r="AG537" i="6" s="1"/>
  <c r="AH537" i="6"/>
  <c r="AI537" i="6" s="1"/>
  <c r="AF538" i="6"/>
  <c r="AG538" i="6" s="1"/>
  <c r="AH538" i="6"/>
  <c r="AI538" i="6" s="1"/>
  <c r="AF539" i="6"/>
  <c r="AG539" i="6" s="1"/>
  <c r="AH539" i="6"/>
  <c r="AI539" i="6" s="1"/>
  <c r="AF540" i="6"/>
  <c r="AG540" i="6" s="1"/>
  <c r="AH540" i="6"/>
  <c r="AI540" i="6" s="1"/>
  <c r="AF542" i="6"/>
  <c r="AG542" i="6" s="1"/>
  <c r="AH542" i="6"/>
  <c r="AI542" i="6" s="1"/>
  <c r="AF543" i="6"/>
  <c r="AG543" i="6" s="1"/>
  <c r="AH543" i="6"/>
  <c r="AI543" i="6" s="1"/>
  <c r="AF544" i="6"/>
  <c r="AG544" i="6" s="1"/>
  <c r="AH544" i="6"/>
  <c r="AI544" i="6" s="1"/>
  <c r="AF545" i="6"/>
  <c r="AG545" i="6" s="1"/>
  <c r="AH545" i="6"/>
  <c r="AI545" i="6" s="1"/>
  <c r="AF541" i="6"/>
  <c r="AG541" i="6" s="1"/>
  <c r="AH541" i="6"/>
  <c r="AI541" i="6" s="1"/>
  <c r="AF546" i="6"/>
  <c r="AG546" i="6" s="1"/>
  <c r="AH546" i="6"/>
  <c r="AI546" i="6" s="1"/>
  <c r="AF547" i="6"/>
  <c r="AG547" i="6" s="1"/>
  <c r="AH547" i="6"/>
  <c r="AI547" i="6" s="1"/>
  <c r="AF548" i="6"/>
  <c r="AG548" i="6" s="1"/>
  <c r="AH548" i="6"/>
  <c r="AI548" i="6" s="1"/>
  <c r="AF549" i="6"/>
  <c r="AG549" i="6" s="1"/>
  <c r="AH549" i="6"/>
  <c r="AI549" i="6" s="1"/>
  <c r="AF550" i="6"/>
  <c r="AG550" i="6" s="1"/>
  <c r="AH550" i="6"/>
  <c r="AI550" i="6" s="1"/>
  <c r="AF551" i="6"/>
  <c r="AG551" i="6" s="1"/>
  <c r="AH551" i="6"/>
  <c r="AI551" i="6" s="1"/>
  <c r="AF552" i="6"/>
  <c r="AG552" i="6" s="1"/>
  <c r="AH552" i="6"/>
  <c r="AI552" i="6" s="1"/>
  <c r="AF553" i="6"/>
  <c r="AG553" i="6" s="1"/>
  <c r="AH553" i="6"/>
  <c r="AI553" i="6" s="1"/>
  <c r="AF554" i="6"/>
  <c r="AG554" i="6" s="1"/>
  <c r="AH554" i="6"/>
  <c r="AI554" i="6" s="1"/>
  <c r="AF555" i="6"/>
  <c r="AG555" i="6" s="1"/>
  <c r="AH555" i="6"/>
  <c r="AI555" i="6" s="1"/>
  <c r="AF556" i="6"/>
  <c r="AG556" i="6" s="1"/>
  <c r="AH556" i="6"/>
  <c r="AI556" i="6" s="1"/>
  <c r="AF557" i="6"/>
  <c r="AG557" i="6" s="1"/>
  <c r="AH557" i="6"/>
  <c r="AI557" i="6" s="1"/>
  <c r="AF558" i="6"/>
  <c r="AG558" i="6" s="1"/>
  <c r="AH558" i="6"/>
  <c r="AI558" i="6" s="1"/>
  <c r="AF559" i="6"/>
  <c r="AG559" i="6" s="1"/>
  <c r="AH559" i="6"/>
  <c r="AI559" i="6" s="1"/>
  <c r="AF560" i="6"/>
  <c r="AG560" i="6" s="1"/>
  <c r="AH560" i="6"/>
  <c r="AI560" i="6" s="1"/>
  <c r="AF561" i="6"/>
  <c r="AG561" i="6" s="1"/>
  <c r="AH561" i="6"/>
  <c r="AI561" i="6" s="1"/>
  <c r="AF562" i="6"/>
  <c r="AG562" i="6" s="1"/>
  <c r="AH562" i="6"/>
  <c r="AI562" i="6" s="1"/>
  <c r="AF564" i="6"/>
  <c r="AG564" i="6" s="1"/>
  <c r="AH564" i="6"/>
  <c r="AI564" i="6" s="1"/>
  <c r="AF565" i="6"/>
  <c r="AG565" i="6" s="1"/>
  <c r="AH565" i="6"/>
  <c r="AI565" i="6" s="1"/>
  <c r="AF566" i="6"/>
  <c r="AG566" i="6" s="1"/>
  <c r="AH566" i="6"/>
  <c r="AI566" i="6" s="1"/>
  <c r="AF567" i="6"/>
  <c r="AG567" i="6" s="1"/>
  <c r="AH567" i="6"/>
  <c r="AI567" i="6" s="1"/>
  <c r="AF568" i="6"/>
  <c r="AG568" i="6" s="1"/>
  <c r="AH568" i="6"/>
  <c r="AI568" i="6" s="1"/>
  <c r="AF569" i="6"/>
  <c r="AG569" i="6" s="1"/>
  <c r="AH569" i="6"/>
  <c r="AI569" i="6" s="1"/>
  <c r="AF570" i="6"/>
  <c r="AG570" i="6" s="1"/>
  <c r="AH570" i="6"/>
  <c r="AI570" i="6" s="1"/>
  <c r="AF571" i="6"/>
  <c r="AG571" i="6" s="1"/>
  <c r="AH571" i="6"/>
  <c r="AI571" i="6" s="1"/>
  <c r="AF572" i="6"/>
  <c r="AG572" i="6" s="1"/>
  <c r="AH572" i="6"/>
  <c r="AI572" i="6" s="1"/>
  <c r="AF573" i="6"/>
  <c r="AG573" i="6" s="1"/>
  <c r="AH573" i="6"/>
  <c r="AI573" i="6" s="1"/>
  <c r="AF574" i="6"/>
  <c r="AG574" i="6" s="1"/>
  <c r="AH574" i="6"/>
  <c r="AI574" i="6" s="1"/>
  <c r="AF575" i="6"/>
  <c r="AG575" i="6" s="1"/>
  <c r="AH575" i="6"/>
  <c r="AI575" i="6" s="1"/>
  <c r="AF576" i="6"/>
  <c r="AG576" i="6" s="1"/>
  <c r="AH576" i="6"/>
  <c r="AI576" i="6" s="1"/>
  <c r="AF577" i="6"/>
  <c r="AG577" i="6" s="1"/>
  <c r="AH577" i="6"/>
  <c r="AI577" i="6" s="1"/>
  <c r="AF578" i="6"/>
  <c r="AG578" i="6" s="1"/>
  <c r="AH578" i="6"/>
  <c r="AI578" i="6" s="1"/>
  <c r="AF581" i="6"/>
  <c r="AG581" i="6" s="1"/>
  <c r="AH581" i="6"/>
  <c r="AI581" i="6" s="1"/>
  <c r="AF582" i="6"/>
  <c r="AG582" i="6" s="1"/>
  <c r="AH582" i="6"/>
  <c r="AI582" i="6" s="1"/>
  <c r="AF583" i="6"/>
  <c r="AG583" i="6" s="1"/>
  <c r="AH583" i="6"/>
  <c r="AI583" i="6" s="1"/>
  <c r="AF584" i="6"/>
  <c r="AG584" i="6" s="1"/>
  <c r="AH584" i="6"/>
  <c r="AI584" i="6" s="1"/>
  <c r="AF585" i="6"/>
  <c r="AG585" i="6" s="1"/>
  <c r="AH585" i="6"/>
  <c r="AI585" i="6" s="1"/>
  <c r="AF586" i="6"/>
  <c r="AG586" i="6" s="1"/>
  <c r="AH586" i="6"/>
  <c r="AI586" i="6" s="1"/>
  <c r="AF587" i="6"/>
  <c r="AG587" i="6" s="1"/>
  <c r="AH587" i="6"/>
  <c r="AI587" i="6" s="1"/>
  <c r="AF588" i="6"/>
  <c r="AG588" i="6" s="1"/>
  <c r="AH588" i="6"/>
  <c r="AI588" i="6" s="1"/>
  <c r="AF589" i="6"/>
  <c r="AG589" i="6" s="1"/>
  <c r="AH589" i="6"/>
  <c r="AI589" i="6" s="1"/>
  <c r="AF590" i="6"/>
  <c r="AG590" i="6" s="1"/>
  <c r="AH590" i="6"/>
  <c r="AI590" i="6" s="1"/>
  <c r="AF563" i="6"/>
  <c r="AG563" i="6" s="1"/>
  <c r="AH563" i="6"/>
  <c r="AI563" i="6" s="1"/>
  <c r="AF591" i="6"/>
  <c r="AG591" i="6" s="1"/>
  <c r="AH591" i="6"/>
  <c r="AI591" i="6" s="1"/>
  <c r="AF592" i="6"/>
  <c r="AG592" i="6" s="1"/>
  <c r="AH592" i="6"/>
  <c r="AI592" i="6" s="1"/>
  <c r="AF593" i="6"/>
  <c r="AG593" i="6" s="1"/>
  <c r="AH593" i="6"/>
  <c r="AI593" i="6" s="1"/>
  <c r="AF595" i="6"/>
  <c r="AG595" i="6" s="1"/>
  <c r="AH595" i="6"/>
  <c r="AI595" i="6" s="1"/>
  <c r="AF596" i="6"/>
  <c r="AG596" i="6" s="1"/>
  <c r="AH596" i="6"/>
  <c r="AI596" i="6" s="1"/>
  <c r="AF597" i="6"/>
  <c r="AG597" i="6" s="1"/>
  <c r="AH597" i="6"/>
  <c r="AI597" i="6" s="1"/>
  <c r="AF598" i="6"/>
  <c r="AG598" i="6" s="1"/>
  <c r="AH598" i="6"/>
  <c r="AI598" i="6" s="1"/>
  <c r="AF599" i="6"/>
  <c r="AG599" i="6" s="1"/>
  <c r="AH599" i="6"/>
  <c r="AI599" i="6" s="1"/>
  <c r="AF600" i="6"/>
  <c r="AG600" i="6" s="1"/>
  <c r="AH600" i="6"/>
  <c r="AI600" i="6" s="1"/>
  <c r="AF579" i="6"/>
  <c r="AG579" i="6" s="1"/>
  <c r="AH579" i="6"/>
  <c r="AI579" i="6" s="1"/>
  <c r="AF580" i="6"/>
  <c r="AG580" i="6" s="1"/>
  <c r="AH580" i="6"/>
  <c r="AI580" i="6" s="1"/>
  <c r="AF601" i="6"/>
  <c r="AG601" i="6" s="1"/>
  <c r="AH601" i="6"/>
  <c r="AI601" i="6" s="1"/>
  <c r="AF602" i="6"/>
  <c r="AG602" i="6" s="1"/>
  <c r="AH602" i="6"/>
  <c r="AI602" i="6" s="1"/>
  <c r="AF603" i="6"/>
  <c r="AG603" i="6" s="1"/>
  <c r="AH603" i="6"/>
  <c r="AI603" i="6" s="1"/>
  <c r="AF604" i="6"/>
  <c r="AG604" i="6" s="1"/>
  <c r="AH604" i="6"/>
  <c r="AI604" i="6" s="1"/>
  <c r="AF605" i="6"/>
  <c r="AG605" i="6" s="1"/>
  <c r="AH605" i="6"/>
  <c r="AI605" i="6" s="1"/>
  <c r="AF606" i="6"/>
  <c r="AG606" i="6" s="1"/>
  <c r="AH606" i="6"/>
  <c r="AI606" i="6" s="1"/>
  <c r="AF607" i="6"/>
  <c r="AG607" i="6" s="1"/>
  <c r="AH607" i="6"/>
  <c r="AI607" i="6" s="1"/>
  <c r="AF608" i="6"/>
  <c r="AG608" i="6" s="1"/>
  <c r="AH608" i="6"/>
  <c r="AI608" i="6" s="1"/>
  <c r="AF609" i="6"/>
  <c r="AG609" i="6" s="1"/>
  <c r="AH609" i="6"/>
  <c r="AI609" i="6" s="1"/>
  <c r="AF610" i="6"/>
  <c r="AG610" i="6" s="1"/>
  <c r="AH610" i="6"/>
  <c r="AI610" i="6" s="1"/>
  <c r="AF594" i="6"/>
  <c r="AG594" i="6" s="1"/>
  <c r="AH594" i="6"/>
  <c r="AI594" i="6" s="1"/>
  <c r="AF611" i="6"/>
  <c r="AG611" i="6" s="1"/>
  <c r="AH611" i="6"/>
  <c r="AI611" i="6" s="1"/>
  <c r="AF612" i="6"/>
  <c r="AG612" i="6" s="1"/>
  <c r="AH612" i="6"/>
  <c r="AI612" i="6" s="1"/>
  <c r="AF613" i="6"/>
  <c r="AG613" i="6" s="1"/>
  <c r="AH613" i="6"/>
  <c r="AI613" i="6" s="1"/>
  <c r="AF614" i="6"/>
  <c r="AG614" i="6" s="1"/>
  <c r="AH614" i="6"/>
  <c r="AI614" i="6" s="1"/>
  <c r="AF615" i="6"/>
  <c r="AG615" i="6" s="1"/>
  <c r="AH615" i="6"/>
  <c r="AI615" i="6" s="1"/>
  <c r="AF616" i="6"/>
  <c r="AG616" i="6" s="1"/>
  <c r="AH616" i="6"/>
  <c r="AI616" i="6" s="1"/>
  <c r="AF618" i="6"/>
  <c r="AG618" i="6" s="1"/>
  <c r="AH618" i="6"/>
  <c r="AI618" i="6" s="1"/>
  <c r="AF619" i="6"/>
  <c r="AG619" i="6" s="1"/>
  <c r="AH619" i="6"/>
  <c r="AI619" i="6" s="1"/>
  <c r="AF617" i="6"/>
  <c r="AG617" i="6" s="1"/>
  <c r="AH617" i="6"/>
  <c r="AI617" i="6" s="1"/>
  <c r="AF620" i="6"/>
  <c r="AG620" i="6" s="1"/>
  <c r="AF621" i="6"/>
  <c r="AG621" i="6" s="1"/>
  <c r="AF622" i="6"/>
  <c r="AG622" i="6" s="1"/>
  <c r="AF623" i="6"/>
  <c r="AG623" i="6" s="1"/>
  <c r="AF624" i="6"/>
  <c r="AG624" i="6" s="1"/>
  <c r="AF625" i="6"/>
  <c r="AG625" i="6" s="1"/>
  <c r="AF629" i="6"/>
  <c r="AG629" i="6" s="1"/>
  <c r="AH629" i="6"/>
  <c r="AI629" i="6" s="1"/>
  <c r="AF630" i="6"/>
  <c r="AG630" i="6" s="1"/>
  <c r="AH630" i="6"/>
  <c r="AI630" i="6" s="1"/>
  <c r="AF631" i="6"/>
  <c r="AG631" i="6" s="1"/>
  <c r="AH631" i="6"/>
  <c r="AI631" i="6" s="1"/>
  <c r="AF632" i="6"/>
  <c r="AG632" i="6" s="1"/>
  <c r="AH632" i="6"/>
  <c r="AI632" i="6" s="1"/>
  <c r="AF633" i="6"/>
  <c r="AG633" i="6" s="1"/>
  <c r="AH633" i="6"/>
  <c r="AI633" i="6" s="1"/>
  <c r="AF634" i="6"/>
  <c r="AG634" i="6" s="1"/>
  <c r="AH634" i="6"/>
  <c r="AI634" i="6" s="1"/>
  <c r="AF635" i="6"/>
  <c r="AG635" i="6" s="1"/>
  <c r="AH635" i="6"/>
  <c r="AI635" i="6" s="1"/>
  <c r="AF636" i="6"/>
  <c r="AG636" i="6" s="1"/>
  <c r="AH636" i="6"/>
  <c r="AI636" i="6" s="1"/>
  <c r="AF637" i="6"/>
  <c r="AG637" i="6" s="1"/>
  <c r="AH637" i="6"/>
  <c r="AI637" i="6" s="1"/>
  <c r="AF638" i="6"/>
  <c r="AG638" i="6" s="1"/>
  <c r="AH638" i="6"/>
  <c r="AI638" i="6" s="1"/>
  <c r="AF639" i="6"/>
  <c r="AG639" i="6" s="1"/>
  <c r="AH639" i="6"/>
  <c r="AI639" i="6" s="1"/>
  <c r="AF640" i="6"/>
  <c r="AG640" i="6" s="1"/>
  <c r="AH640" i="6"/>
  <c r="AI640" i="6" s="1"/>
  <c r="AF641" i="6"/>
  <c r="AG641" i="6" s="1"/>
  <c r="AH641" i="6"/>
  <c r="AI641" i="6" s="1"/>
  <c r="AF642" i="6"/>
  <c r="AG642" i="6" s="1"/>
  <c r="AH642" i="6"/>
  <c r="AI642" i="6" s="1"/>
  <c r="AF643" i="6"/>
  <c r="AG643" i="6" s="1"/>
  <c r="AH643" i="6"/>
  <c r="AI643" i="6" s="1"/>
  <c r="AF644" i="6"/>
  <c r="AG644" i="6" s="1"/>
  <c r="AH644" i="6"/>
  <c r="AI644" i="6" s="1"/>
  <c r="AF645" i="6"/>
  <c r="AG645" i="6" s="1"/>
  <c r="AH645" i="6"/>
  <c r="AI645" i="6" s="1"/>
  <c r="AF646" i="6"/>
  <c r="AG646" i="6" s="1"/>
  <c r="AH646" i="6"/>
  <c r="AI646" i="6" s="1"/>
  <c r="AF647" i="6"/>
  <c r="AG647" i="6" s="1"/>
  <c r="AH647" i="6"/>
  <c r="AI647" i="6" s="1"/>
  <c r="AF648" i="6"/>
  <c r="AG648" i="6" s="1"/>
  <c r="AH648" i="6"/>
  <c r="AI648" i="6" s="1"/>
  <c r="AF649" i="6"/>
  <c r="AG649" i="6" s="1"/>
  <c r="AH649" i="6"/>
  <c r="AI649" i="6" s="1"/>
  <c r="AF650" i="6"/>
  <c r="AG650" i="6" s="1"/>
  <c r="AH650" i="6"/>
  <c r="AI650" i="6" s="1"/>
  <c r="AF651" i="6"/>
  <c r="AG651" i="6" s="1"/>
  <c r="AH651" i="6"/>
  <c r="AI651" i="6" s="1"/>
  <c r="AF652" i="6"/>
  <c r="AG652" i="6" s="1"/>
  <c r="AH652" i="6"/>
  <c r="AI652" i="6" s="1"/>
  <c r="AF653" i="6"/>
  <c r="AG653" i="6" s="1"/>
  <c r="AH653" i="6"/>
  <c r="AI653" i="6" s="1"/>
  <c r="AF655" i="6"/>
  <c r="AG655" i="6" s="1"/>
  <c r="AH655" i="6"/>
  <c r="AI655" i="6" s="1"/>
  <c r="AF656" i="6"/>
  <c r="AG656" i="6" s="1"/>
  <c r="AH656" i="6"/>
  <c r="AI656" i="6" s="1"/>
  <c r="AF657" i="6"/>
  <c r="AG657" i="6" s="1"/>
  <c r="AH657" i="6"/>
  <c r="AI657" i="6" s="1"/>
  <c r="AF658" i="6"/>
  <c r="AG658" i="6" s="1"/>
  <c r="AH658" i="6"/>
  <c r="AI658" i="6" s="1"/>
  <c r="AF660" i="6"/>
  <c r="AG660" i="6" s="1"/>
  <c r="AH660" i="6"/>
  <c r="AI660" i="6" s="1"/>
  <c r="AF661" i="6"/>
  <c r="AG661" i="6" s="1"/>
  <c r="AH661" i="6"/>
  <c r="AI661" i="6" s="1"/>
  <c r="AF662" i="6"/>
  <c r="AG662" i="6" s="1"/>
  <c r="AH662" i="6"/>
  <c r="AI662" i="6" s="1"/>
  <c r="AF654" i="6"/>
  <c r="AG654" i="6" s="1"/>
  <c r="AH654" i="6"/>
  <c r="AI654" i="6" s="1"/>
  <c r="AF663" i="6"/>
  <c r="AG663" i="6" s="1"/>
  <c r="AH663" i="6"/>
  <c r="AI663" i="6" s="1"/>
  <c r="AF664" i="6"/>
  <c r="AG664" i="6" s="1"/>
  <c r="AH664" i="6"/>
  <c r="AI664" i="6" s="1"/>
  <c r="AF665" i="6"/>
  <c r="AG665" i="6" s="1"/>
  <c r="AH665" i="6"/>
  <c r="AI665" i="6" s="1"/>
  <c r="AF666" i="6"/>
  <c r="AG666" i="6" s="1"/>
  <c r="AH666" i="6"/>
  <c r="AI666" i="6" s="1"/>
  <c r="AF659" i="6"/>
  <c r="AG659" i="6" s="1"/>
  <c r="AH659" i="6"/>
  <c r="AI659" i="6" s="1"/>
  <c r="AF670" i="6"/>
  <c r="AG670" i="6" s="1"/>
  <c r="AH670" i="6"/>
  <c r="AI670" i="6" s="1"/>
  <c r="AF671" i="6"/>
  <c r="AG671" i="6" s="1"/>
  <c r="AH671" i="6"/>
  <c r="AI671" i="6" s="1"/>
  <c r="AF672" i="6"/>
  <c r="AG672" i="6" s="1"/>
  <c r="AH672" i="6"/>
  <c r="AI672" i="6" s="1"/>
  <c r="AF673" i="6"/>
  <c r="AG673" i="6" s="1"/>
  <c r="AH673" i="6"/>
  <c r="AI673" i="6" s="1"/>
  <c r="AF674" i="6"/>
  <c r="AG674" i="6" s="1"/>
  <c r="AH674" i="6"/>
  <c r="AI674" i="6" s="1"/>
  <c r="AF675" i="6"/>
  <c r="AG675" i="6" s="1"/>
  <c r="AH675" i="6"/>
  <c r="AI675" i="6" s="1"/>
  <c r="AF676" i="6"/>
  <c r="AG676" i="6" s="1"/>
  <c r="AH676" i="6"/>
  <c r="AI676" i="6" s="1"/>
  <c r="AF677" i="6"/>
  <c r="AG677" i="6" s="1"/>
  <c r="AH677" i="6"/>
  <c r="AI677" i="6" s="1"/>
  <c r="AF678" i="6"/>
  <c r="AG678" i="6" s="1"/>
  <c r="AH678" i="6"/>
  <c r="AI678" i="6" s="1"/>
  <c r="AF679" i="6"/>
  <c r="AG679" i="6" s="1"/>
  <c r="AH679" i="6"/>
  <c r="AI679" i="6" s="1"/>
  <c r="AF680" i="6"/>
  <c r="AG680" i="6" s="1"/>
  <c r="AH680" i="6"/>
  <c r="AI680" i="6" s="1"/>
  <c r="AF681" i="6"/>
  <c r="AG681" i="6" s="1"/>
  <c r="AH681" i="6"/>
  <c r="AI681" i="6" s="1"/>
  <c r="AF682" i="6"/>
  <c r="AG682" i="6" s="1"/>
  <c r="AH682" i="6"/>
  <c r="AI682" i="6" s="1"/>
  <c r="AF683" i="6"/>
  <c r="AG683" i="6" s="1"/>
  <c r="AH683" i="6"/>
  <c r="AI683" i="6" s="1"/>
  <c r="AF685" i="6"/>
  <c r="AG685" i="6" s="1"/>
  <c r="AH685" i="6"/>
  <c r="AI685" i="6" s="1"/>
  <c r="AF686" i="6"/>
  <c r="AG686" i="6" s="1"/>
  <c r="AH686" i="6"/>
  <c r="AI686" i="6" s="1"/>
  <c r="AF687" i="6"/>
  <c r="AG687" i="6" s="1"/>
  <c r="AH687" i="6"/>
  <c r="AI687" i="6" s="1"/>
  <c r="AF688" i="6"/>
  <c r="AG688" i="6" s="1"/>
  <c r="AH688" i="6"/>
  <c r="AI688" i="6" s="1"/>
  <c r="AF689" i="6"/>
  <c r="AG689" i="6" s="1"/>
  <c r="AH689" i="6"/>
  <c r="AI689" i="6" s="1"/>
  <c r="AF690" i="6"/>
  <c r="AG690" i="6" s="1"/>
  <c r="AH690" i="6"/>
  <c r="AI690" i="6" s="1"/>
  <c r="AF691" i="6"/>
  <c r="AG691" i="6" s="1"/>
  <c r="AH691" i="6"/>
  <c r="AI691" i="6" s="1"/>
  <c r="AF692" i="6"/>
  <c r="AG692" i="6" s="1"/>
  <c r="AH692" i="6"/>
  <c r="AI692" i="6" s="1"/>
  <c r="AF684" i="6"/>
  <c r="AG684" i="6" s="1"/>
  <c r="AH684" i="6"/>
  <c r="AI684" i="6" s="1"/>
  <c r="AF94" i="6"/>
  <c r="AL94" i="6" s="1"/>
  <c r="AH94" i="6"/>
  <c r="AM94" i="6" s="1"/>
  <c r="AF95" i="6"/>
  <c r="AL95" i="6" s="1"/>
  <c r="AH95" i="6"/>
  <c r="AM95" i="6" s="1"/>
  <c r="AF96" i="6"/>
  <c r="AG96" i="6" s="1"/>
  <c r="AH96" i="6"/>
  <c r="AM96" i="6" s="1"/>
  <c r="AF99" i="6"/>
  <c r="AH99" i="6"/>
  <c r="AM99" i="6" s="1"/>
  <c r="W78" i="6"/>
  <c r="W79" i="6"/>
  <c r="W81" i="6"/>
  <c r="W80" i="6"/>
  <c r="W82" i="6"/>
  <c r="W93" i="6"/>
  <c r="V175" i="6"/>
  <c r="V178" i="6"/>
  <c r="V236" i="6"/>
  <c r="W236" i="6"/>
  <c r="V238" i="6"/>
  <c r="W238" i="6"/>
  <c r="V237" i="6"/>
  <c r="W237" i="6"/>
  <c r="V239" i="6"/>
  <c r="W239" i="6"/>
  <c r="V240" i="6"/>
  <c r="W240" i="6"/>
  <c r="V241" i="6"/>
  <c r="W241" i="6"/>
  <c r="V242" i="6"/>
  <c r="W242" i="6"/>
  <c r="V243" i="6"/>
  <c r="W243" i="6"/>
  <c r="V244" i="6"/>
  <c r="W244" i="6"/>
  <c r="V245" i="6"/>
  <c r="W245" i="6"/>
  <c r="V246" i="6"/>
  <c r="W246" i="6"/>
  <c r="V247" i="6"/>
  <c r="W247" i="6"/>
  <c r="V249" i="6"/>
  <c r="W249" i="6"/>
  <c r="V251" i="6"/>
  <c r="W251" i="6"/>
  <c r="V252" i="6"/>
  <c r="W252" i="6"/>
  <c r="V253" i="6"/>
  <c r="W253" i="6"/>
  <c r="V254" i="6"/>
  <c r="W254" i="6"/>
  <c r="V255" i="6"/>
  <c r="W255" i="6"/>
  <c r="V248" i="6"/>
  <c r="W248" i="6"/>
  <c r="V256" i="6"/>
  <c r="W256" i="6"/>
  <c r="V257" i="6"/>
  <c r="W257" i="6"/>
  <c r="V258" i="6"/>
  <c r="W258" i="6"/>
  <c r="V250" i="6"/>
  <c r="W250" i="6"/>
  <c r="V259" i="6"/>
  <c r="W259" i="6"/>
  <c r="V260" i="6"/>
  <c r="W260" i="6"/>
  <c r="V261" i="6"/>
  <c r="W261" i="6"/>
  <c r="V262" i="6"/>
  <c r="W262" i="6"/>
  <c r="V263" i="6"/>
  <c r="W263" i="6"/>
  <c r="V264" i="6"/>
  <c r="W264" i="6"/>
  <c r="V265" i="6"/>
  <c r="W265" i="6"/>
  <c r="V266" i="6"/>
  <c r="W266" i="6"/>
  <c r="V267" i="6"/>
  <c r="W267" i="6"/>
  <c r="V268" i="6"/>
  <c r="W268" i="6"/>
  <c r="V269" i="6"/>
  <c r="W269" i="6"/>
  <c r="V270" i="6"/>
  <c r="W270" i="6"/>
  <c r="W271" i="6"/>
  <c r="W274" i="6"/>
  <c r="W275" i="6"/>
  <c r="W276" i="6"/>
  <c r="W279" i="6"/>
  <c r="W282" i="6"/>
  <c r="W283" i="6"/>
  <c r="W284" i="6"/>
  <c r="V386" i="6"/>
  <c r="W386" i="6"/>
  <c r="V387" i="6"/>
  <c r="W387" i="6"/>
  <c r="V395" i="6"/>
  <c r="W395" i="6"/>
  <c r="V388" i="6"/>
  <c r="W388" i="6"/>
  <c r="V428" i="6"/>
  <c r="W428" i="6"/>
  <c r="V389" i="6"/>
  <c r="W389" i="6"/>
  <c r="V390" i="6"/>
  <c r="W390" i="6"/>
  <c r="V391" i="6"/>
  <c r="W391" i="6"/>
  <c r="V392" i="6"/>
  <c r="W392" i="6"/>
  <c r="V393" i="6"/>
  <c r="W393" i="6"/>
  <c r="V394" i="6"/>
  <c r="W394" i="6"/>
  <c r="V396" i="6"/>
  <c r="W396" i="6"/>
  <c r="V397" i="6"/>
  <c r="W397" i="6"/>
  <c r="V398" i="6"/>
  <c r="W398" i="6"/>
  <c r="V399" i="6"/>
  <c r="W399" i="6"/>
  <c r="V400" i="6"/>
  <c r="W400" i="6"/>
  <c r="V401" i="6"/>
  <c r="W401" i="6"/>
  <c r="V402" i="6"/>
  <c r="W402" i="6"/>
  <c r="V403" i="6"/>
  <c r="W403" i="6"/>
  <c r="V404" i="6"/>
  <c r="W404" i="6"/>
  <c r="V405" i="6"/>
  <c r="W405" i="6"/>
  <c r="V406" i="6"/>
  <c r="W406" i="6"/>
  <c r="V407" i="6"/>
  <c r="W407" i="6"/>
  <c r="V408" i="6"/>
  <c r="W408" i="6"/>
  <c r="V409" i="6"/>
  <c r="W409" i="6"/>
  <c r="V410" i="6"/>
  <c r="W410" i="6"/>
  <c r="V411" i="6"/>
  <c r="W411" i="6"/>
  <c r="V412" i="6"/>
  <c r="W412" i="6"/>
  <c r="V413" i="6"/>
  <c r="W413" i="6"/>
  <c r="V414" i="6"/>
  <c r="W414" i="6"/>
  <c r="V415" i="6"/>
  <c r="W415" i="6"/>
  <c r="V417" i="6"/>
  <c r="W417" i="6"/>
  <c r="V418" i="6"/>
  <c r="W418" i="6"/>
  <c r="V419" i="6"/>
  <c r="W419" i="6"/>
  <c r="V420" i="6"/>
  <c r="W420" i="6"/>
  <c r="V421" i="6"/>
  <c r="W421" i="6"/>
  <c r="V422" i="6"/>
  <c r="W422" i="6"/>
  <c r="V423" i="6"/>
  <c r="W423" i="6"/>
  <c r="V424" i="6"/>
  <c r="W424" i="6"/>
  <c r="V425" i="6"/>
  <c r="W425" i="6"/>
  <c r="V426" i="6"/>
  <c r="W426" i="6"/>
  <c r="V427" i="6"/>
  <c r="W427" i="6"/>
  <c r="V429" i="6"/>
  <c r="W429" i="6"/>
  <c r="V430" i="6"/>
  <c r="W430" i="6"/>
  <c r="V431" i="6"/>
  <c r="W431" i="6"/>
  <c r="V432" i="6"/>
  <c r="W432" i="6"/>
  <c r="V416" i="6"/>
  <c r="W416" i="6"/>
  <c r="V433" i="6"/>
  <c r="W433" i="6"/>
  <c r="V440" i="6"/>
  <c r="W440" i="6"/>
  <c r="V457" i="6"/>
  <c r="W457" i="6"/>
  <c r="V465" i="6"/>
  <c r="W465" i="6"/>
  <c r="V466" i="6"/>
  <c r="W466" i="6"/>
  <c r="V469" i="6"/>
  <c r="W469" i="6"/>
  <c r="V470" i="6"/>
  <c r="W470" i="6"/>
  <c r="V467" i="6"/>
  <c r="W467" i="6"/>
  <c r="V471" i="6"/>
  <c r="W471" i="6"/>
  <c r="V472" i="6"/>
  <c r="W472" i="6"/>
  <c r="V487" i="6"/>
  <c r="W487" i="6"/>
  <c r="V488" i="6"/>
  <c r="W488" i="6"/>
  <c r="V489" i="6"/>
  <c r="W489" i="6"/>
  <c r="V490" i="6"/>
  <c r="W490" i="6"/>
  <c r="V491" i="6"/>
  <c r="W491" i="6"/>
  <c r="V492" i="6"/>
  <c r="W492" i="6"/>
  <c r="V493" i="6"/>
  <c r="W493" i="6"/>
  <c r="V494" i="6"/>
  <c r="W494" i="6"/>
  <c r="V495" i="6"/>
  <c r="W495" i="6"/>
  <c r="V496" i="6"/>
  <c r="W496" i="6"/>
  <c r="V497" i="6"/>
  <c r="W497" i="6"/>
  <c r="V498" i="6"/>
  <c r="W498" i="6"/>
  <c r="V499" i="6"/>
  <c r="W499" i="6"/>
  <c r="V500" i="6"/>
  <c r="W500" i="6"/>
  <c r="V501" i="6"/>
  <c r="W501" i="6"/>
  <c r="V502" i="6"/>
  <c r="W502" i="6"/>
  <c r="V503" i="6"/>
  <c r="W503" i="6"/>
  <c r="V504" i="6"/>
  <c r="W504" i="6"/>
  <c r="V505" i="6"/>
  <c r="W505" i="6"/>
  <c r="V506" i="6"/>
  <c r="W506" i="6"/>
  <c r="V507" i="6"/>
  <c r="W507" i="6"/>
  <c r="V508" i="6"/>
  <c r="W508" i="6"/>
  <c r="V509" i="6"/>
  <c r="W509" i="6"/>
  <c r="V510" i="6"/>
  <c r="W510" i="6"/>
  <c r="V511" i="6"/>
  <c r="W511" i="6"/>
  <c r="V512" i="6"/>
  <c r="W512" i="6"/>
  <c r="V513" i="6"/>
  <c r="W513" i="6"/>
  <c r="V618" i="6"/>
  <c r="V619" i="6"/>
  <c r="V617" i="6"/>
  <c r="P7" i="6"/>
  <c r="R7" i="6"/>
  <c r="W7" i="6" s="1"/>
  <c r="P8" i="6"/>
  <c r="R8" i="6"/>
  <c r="S8" i="6" s="1"/>
  <c r="P9" i="6"/>
  <c r="R9" i="6"/>
  <c r="W9" i="6" s="1"/>
  <c r="P10" i="6"/>
  <c r="R10" i="6"/>
  <c r="P11" i="6"/>
  <c r="R11" i="6"/>
  <c r="P12" i="6"/>
  <c r="R12" i="6"/>
  <c r="W12" i="6" s="1"/>
  <c r="P13" i="6"/>
  <c r="R13" i="6"/>
  <c r="W13" i="6" s="1"/>
  <c r="P14" i="6"/>
  <c r="R14" i="6"/>
  <c r="S14" i="6" s="1"/>
  <c r="P15" i="6"/>
  <c r="Q15" i="6" s="1"/>
  <c r="R15" i="6"/>
  <c r="W15" i="6" s="1"/>
  <c r="P16" i="6"/>
  <c r="R16" i="6"/>
  <c r="W16" i="6" s="1"/>
  <c r="P17" i="6"/>
  <c r="R17" i="6"/>
  <c r="P18" i="6"/>
  <c r="R18" i="6"/>
  <c r="P19" i="6"/>
  <c r="Q19" i="6" s="1"/>
  <c r="R19" i="6"/>
  <c r="W19" i="6" s="1"/>
  <c r="P20" i="6"/>
  <c r="R20" i="6"/>
  <c r="S20" i="6" s="1"/>
  <c r="P22" i="6"/>
  <c r="R22" i="6"/>
  <c r="W22" i="6" s="1"/>
  <c r="P23" i="6"/>
  <c r="Q23" i="6" s="1"/>
  <c r="R23" i="6"/>
  <c r="P25" i="6"/>
  <c r="Q25" i="6" s="1"/>
  <c r="R25" i="6"/>
  <c r="W25" i="6" s="1"/>
  <c r="P26" i="6"/>
  <c r="R26" i="6"/>
  <c r="W26" i="6" s="1"/>
  <c r="P21" i="6"/>
  <c r="R21" i="6"/>
  <c r="W21" i="6" s="1"/>
  <c r="P29" i="6"/>
  <c r="R29" i="6"/>
  <c r="S29" i="6" s="1"/>
  <c r="P30" i="6"/>
  <c r="R30" i="6"/>
  <c r="P31" i="6"/>
  <c r="R31" i="6"/>
  <c r="S31" i="6" s="1"/>
  <c r="P32" i="6"/>
  <c r="Q32" i="6" s="1"/>
  <c r="R32" i="6"/>
  <c r="W32" i="6" s="1"/>
  <c r="P33" i="6"/>
  <c r="R33" i="6"/>
  <c r="P34" i="6"/>
  <c r="R34" i="6"/>
  <c r="W34" i="6" s="1"/>
  <c r="P35" i="6"/>
  <c r="R35" i="6"/>
  <c r="S35" i="6" s="1"/>
  <c r="P24" i="6"/>
  <c r="Q24" i="6" s="1"/>
  <c r="R24" i="6"/>
  <c r="P36" i="6"/>
  <c r="R36" i="6"/>
  <c r="W36" i="6" s="1"/>
  <c r="P27" i="6"/>
  <c r="R27" i="6"/>
  <c r="S27" i="6" s="1"/>
  <c r="P37" i="6"/>
  <c r="R37" i="6"/>
  <c r="W37" i="6" s="1"/>
  <c r="P28" i="6"/>
  <c r="R28" i="6"/>
  <c r="S28" i="6" s="1"/>
  <c r="P38" i="6"/>
  <c r="Q38" i="6" s="1"/>
  <c r="R38" i="6"/>
  <c r="W38" i="6" s="1"/>
  <c r="P39" i="6"/>
  <c r="R39" i="6"/>
  <c r="W39" i="6" s="1"/>
  <c r="P40" i="6"/>
  <c r="R40" i="6"/>
  <c r="S40" i="6" s="1"/>
  <c r="P41" i="6"/>
  <c r="R41" i="6"/>
  <c r="W41" i="6" s="1"/>
  <c r="P42" i="6"/>
  <c r="Q42" i="6" s="1"/>
  <c r="R42" i="6"/>
  <c r="W42" i="6" s="1"/>
  <c r="P43" i="6"/>
  <c r="Q43" i="6" s="1"/>
  <c r="R43" i="6"/>
  <c r="W43" i="6" s="1"/>
  <c r="P44" i="6"/>
  <c r="R44" i="6"/>
  <c r="P45" i="6"/>
  <c r="Q45" i="6" s="1"/>
  <c r="R45" i="6"/>
  <c r="W45" i="6" s="1"/>
  <c r="P46" i="6"/>
  <c r="Q46" i="6" s="1"/>
  <c r="R46" i="6"/>
  <c r="S46" i="6" s="1"/>
  <c r="P47" i="6"/>
  <c r="Q47" i="6" s="1"/>
  <c r="R47" i="6"/>
  <c r="S47" i="6" s="1"/>
  <c r="P48" i="6"/>
  <c r="R48" i="6"/>
  <c r="P49" i="6"/>
  <c r="R49" i="6"/>
  <c r="W49" i="6" s="1"/>
  <c r="P50" i="6"/>
  <c r="R50" i="6"/>
  <c r="S50" i="6" s="1"/>
  <c r="P51" i="6"/>
  <c r="Q51" i="6" s="1"/>
  <c r="R51" i="6"/>
  <c r="W51" i="6" s="1"/>
  <c r="P52" i="6"/>
  <c r="R52" i="6"/>
  <c r="W52" i="6" s="1"/>
  <c r="P53" i="6"/>
  <c r="R53" i="6"/>
  <c r="W53" i="6" s="1"/>
  <c r="P54" i="6"/>
  <c r="R54" i="6"/>
  <c r="P55" i="6"/>
  <c r="Q55" i="6" s="1"/>
  <c r="R55" i="6"/>
  <c r="W55" i="6" s="1"/>
  <c r="P57" i="6"/>
  <c r="R57" i="6"/>
  <c r="P58" i="6"/>
  <c r="Q58" i="6" s="1"/>
  <c r="R58" i="6"/>
  <c r="P59" i="6"/>
  <c r="R59" i="6"/>
  <c r="W59" i="6" s="1"/>
  <c r="P56" i="6"/>
  <c r="R56" i="6"/>
  <c r="P60" i="6"/>
  <c r="R60" i="6"/>
  <c r="W60" i="6" s="1"/>
  <c r="P61" i="6"/>
  <c r="Q61" i="6" s="1"/>
  <c r="R61" i="6"/>
  <c r="P62" i="6"/>
  <c r="R62" i="6"/>
  <c r="P63" i="6"/>
  <c r="Q63" i="6" s="1"/>
  <c r="R63" i="6"/>
  <c r="W63" i="6" s="1"/>
  <c r="P65" i="6"/>
  <c r="R65" i="6"/>
  <c r="S65" i="6" s="1"/>
  <c r="P66" i="6"/>
  <c r="R66" i="6"/>
  <c r="W66" i="6" s="1"/>
  <c r="P67" i="6"/>
  <c r="Q67" i="6" s="1"/>
  <c r="R67" i="6"/>
  <c r="W67" i="6" s="1"/>
  <c r="P68" i="6"/>
  <c r="R68" i="6"/>
  <c r="W68" i="6" s="1"/>
  <c r="P64" i="6"/>
  <c r="R64" i="6"/>
  <c r="P69" i="6"/>
  <c r="Q69" i="6" s="1"/>
  <c r="R69" i="6"/>
  <c r="W69" i="6" s="1"/>
  <c r="P70" i="6"/>
  <c r="Q70" i="6" s="1"/>
  <c r="R70" i="6"/>
  <c r="P71" i="6"/>
  <c r="R71" i="6"/>
  <c r="P72" i="6"/>
  <c r="R72" i="6"/>
  <c r="P73" i="6"/>
  <c r="R73" i="6"/>
  <c r="W73" i="6" s="1"/>
  <c r="P74" i="6"/>
  <c r="Q74" i="6" s="1"/>
  <c r="R74" i="6"/>
  <c r="P75" i="6"/>
  <c r="Q75" i="6" s="1"/>
  <c r="R75" i="6"/>
  <c r="W75" i="6" s="1"/>
  <c r="P76" i="6"/>
  <c r="R76" i="6"/>
  <c r="W76" i="6" s="1"/>
  <c r="P77" i="6"/>
  <c r="R77" i="6"/>
  <c r="W77" i="6" s="1"/>
  <c r="P78" i="6"/>
  <c r="R78" i="6"/>
  <c r="S78" i="6" s="1"/>
  <c r="P79" i="6"/>
  <c r="Q79" i="6" s="1"/>
  <c r="R79" i="6"/>
  <c r="S79" i="6" s="1"/>
  <c r="P81" i="6"/>
  <c r="R81" i="6"/>
  <c r="S81" i="6" s="1"/>
  <c r="P80" i="6"/>
  <c r="R80" i="6"/>
  <c r="S80" i="6" s="1"/>
  <c r="P82" i="6"/>
  <c r="R82" i="6"/>
  <c r="S82" i="6" s="1"/>
  <c r="P83" i="6"/>
  <c r="R83" i="6"/>
  <c r="S83" i="6" s="1"/>
  <c r="P84" i="6"/>
  <c r="R84" i="6"/>
  <c r="W84" i="6" s="1"/>
  <c r="P85" i="6"/>
  <c r="R85" i="6"/>
  <c r="P86" i="6"/>
  <c r="Q86" i="6" s="1"/>
  <c r="R86" i="6"/>
  <c r="W86" i="6" s="1"/>
  <c r="P87" i="6"/>
  <c r="Q87" i="6" s="1"/>
  <c r="R87" i="6"/>
  <c r="P88" i="6"/>
  <c r="R88" i="6"/>
  <c r="P89" i="6"/>
  <c r="R89" i="6"/>
  <c r="P90" i="6"/>
  <c r="R90" i="6"/>
  <c r="W90" i="6" s="1"/>
  <c r="P91" i="6"/>
  <c r="R91" i="6"/>
  <c r="W91" i="6" s="1"/>
  <c r="P92" i="6"/>
  <c r="R92" i="6"/>
  <c r="P93" i="6"/>
  <c r="Q93" i="6" s="1"/>
  <c r="R93" i="6"/>
  <c r="S93" i="6" s="1"/>
  <c r="P100" i="6"/>
  <c r="R100" i="6"/>
  <c r="W100" i="6" s="1"/>
  <c r="P101" i="6"/>
  <c r="Q101" i="6" s="1"/>
  <c r="R101" i="6"/>
  <c r="P102" i="6"/>
  <c r="R102" i="6"/>
  <c r="S102" i="6" s="1"/>
  <c r="P103" i="6"/>
  <c r="Q103" i="6" s="1"/>
  <c r="R103" i="6"/>
  <c r="P104" i="6"/>
  <c r="Q104" i="6" s="1"/>
  <c r="R104" i="6"/>
  <c r="W104" i="6" s="1"/>
  <c r="P97" i="6"/>
  <c r="R97" i="6"/>
  <c r="W97" i="6" s="1"/>
  <c r="P105" i="6"/>
  <c r="R105" i="6"/>
  <c r="P98" i="6"/>
  <c r="Q98" i="6" s="1"/>
  <c r="R98" i="6"/>
  <c r="P106" i="6"/>
  <c r="R106" i="6"/>
  <c r="S106" i="6" s="1"/>
  <c r="P107" i="6"/>
  <c r="R107" i="6"/>
  <c r="P108" i="6"/>
  <c r="R108" i="6"/>
  <c r="S108" i="6" s="1"/>
  <c r="P109" i="6"/>
  <c r="R109" i="6"/>
  <c r="P110" i="6"/>
  <c r="Q110" i="6" s="1"/>
  <c r="R110" i="6"/>
  <c r="P111" i="6"/>
  <c r="Q111" i="6" s="1"/>
  <c r="R111" i="6"/>
  <c r="P112" i="6"/>
  <c r="R112" i="6"/>
  <c r="W112" i="6" s="1"/>
  <c r="P113" i="6"/>
  <c r="R113" i="6"/>
  <c r="P114" i="6"/>
  <c r="Q114" i="6" s="1"/>
  <c r="R114" i="6"/>
  <c r="P115" i="6"/>
  <c r="Q115" i="6" s="1"/>
  <c r="R115" i="6"/>
  <c r="P116" i="6"/>
  <c r="R116" i="6"/>
  <c r="P117" i="6"/>
  <c r="R117" i="6"/>
  <c r="S117" i="6" s="1"/>
  <c r="P118" i="6"/>
  <c r="R118" i="6"/>
  <c r="P119" i="6"/>
  <c r="Q119" i="6" s="1"/>
  <c r="R119" i="6"/>
  <c r="W119" i="6" s="1"/>
  <c r="P120" i="6"/>
  <c r="R120" i="6"/>
  <c r="S120" i="6" s="1"/>
  <c r="P121" i="6"/>
  <c r="R121" i="6"/>
  <c r="P122" i="6"/>
  <c r="P123" i="6"/>
  <c r="P124" i="6"/>
  <c r="P125" i="6"/>
  <c r="P126" i="6"/>
  <c r="P127" i="6"/>
  <c r="P128" i="6"/>
  <c r="P129" i="6"/>
  <c r="P130" i="6"/>
  <c r="Q130" i="6" s="1"/>
  <c r="P131" i="6"/>
  <c r="Q131" i="6" s="1"/>
  <c r="P132" i="6"/>
  <c r="P133" i="6"/>
  <c r="Q133" i="6" s="1"/>
  <c r="P135" i="6"/>
  <c r="Q135" i="6" s="1"/>
  <c r="P136" i="6"/>
  <c r="P137" i="6"/>
  <c r="P138" i="6"/>
  <c r="Q138" i="6" s="1"/>
  <c r="P134" i="6"/>
  <c r="Q134" i="6" s="1"/>
  <c r="P140" i="6"/>
  <c r="Q140" i="6" s="1"/>
  <c r="P141" i="6"/>
  <c r="P142" i="6"/>
  <c r="P144" i="6"/>
  <c r="R144" i="6"/>
  <c r="W144" i="6" s="1"/>
  <c r="P145" i="6"/>
  <c r="Q145" i="6" s="1"/>
  <c r="P147" i="6"/>
  <c r="R147" i="6"/>
  <c r="W147" i="6" s="1"/>
  <c r="P148" i="6"/>
  <c r="Q148" i="6" s="1"/>
  <c r="P149" i="6"/>
  <c r="Q149" i="6" s="1"/>
  <c r="P151" i="6"/>
  <c r="P143" i="6"/>
  <c r="P152" i="6"/>
  <c r="P146" i="6"/>
  <c r="P150" i="6"/>
  <c r="Q150" i="6" s="1"/>
  <c r="R150" i="6"/>
  <c r="S150" i="6" s="1"/>
  <c r="P153" i="6"/>
  <c r="R153" i="6"/>
  <c r="P154" i="6"/>
  <c r="R154" i="6"/>
  <c r="W154" i="6" s="1"/>
  <c r="P139" i="6"/>
  <c r="Q139" i="6" s="1"/>
  <c r="P155" i="6"/>
  <c r="Q155" i="6" s="1"/>
  <c r="R155" i="6"/>
  <c r="S155" i="6" s="1"/>
  <c r="P156" i="6"/>
  <c r="R156" i="6"/>
  <c r="S156" i="6" s="1"/>
  <c r="P157" i="6"/>
  <c r="Q157" i="6" s="1"/>
  <c r="R157" i="6"/>
  <c r="S157" i="6" s="1"/>
  <c r="P158" i="6"/>
  <c r="R158" i="6"/>
  <c r="W158" i="6" s="1"/>
  <c r="P159" i="6"/>
  <c r="R159" i="6"/>
  <c r="W159" i="6" s="1"/>
  <c r="P160" i="6"/>
  <c r="R160" i="6"/>
  <c r="W160" i="6" s="1"/>
  <c r="P161" i="6"/>
  <c r="Q161" i="6" s="1"/>
  <c r="R161" i="6"/>
  <c r="P162" i="6"/>
  <c r="Q162" i="6" s="1"/>
  <c r="R162" i="6"/>
  <c r="W162" i="6" s="1"/>
  <c r="P163" i="6"/>
  <c r="Q163" i="6" s="1"/>
  <c r="R163" i="6"/>
  <c r="P164" i="6"/>
  <c r="R164" i="6"/>
  <c r="S164" i="6" s="1"/>
  <c r="P165" i="6"/>
  <c r="R165" i="6"/>
  <c r="S165" i="6" s="1"/>
  <c r="P166" i="6"/>
  <c r="R166" i="6"/>
  <c r="W166" i="6" s="1"/>
  <c r="P167" i="6"/>
  <c r="R167" i="6"/>
  <c r="S167" i="6" s="1"/>
  <c r="P168" i="6"/>
  <c r="R168" i="6"/>
  <c r="W168" i="6" s="1"/>
  <c r="P169" i="6"/>
  <c r="Q169" i="6" s="1"/>
  <c r="R169" i="6"/>
  <c r="S169" i="6" s="1"/>
  <c r="P170" i="6"/>
  <c r="Q170" i="6" s="1"/>
  <c r="R170" i="6"/>
  <c r="S170" i="6" s="1"/>
  <c r="P171" i="6"/>
  <c r="Q171" i="6" s="1"/>
  <c r="R171" i="6"/>
  <c r="P172" i="6"/>
  <c r="V172" i="6" s="1"/>
  <c r="R172" i="6"/>
  <c r="W172" i="6" s="1"/>
  <c r="P173" i="6"/>
  <c r="R173" i="6"/>
  <c r="S173" i="6" s="1"/>
  <c r="P174" i="6"/>
  <c r="R174" i="6"/>
  <c r="S174" i="6" s="1"/>
  <c r="P175" i="6"/>
  <c r="Q175" i="6" s="1"/>
  <c r="R175" i="6"/>
  <c r="S175" i="6" s="1"/>
  <c r="P176" i="6"/>
  <c r="R176" i="6"/>
  <c r="W176" i="6" s="1"/>
  <c r="P177" i="6"/>
  <c r="R177" i="6"/>
  <c r="W177" i="6" s="1"/>
  <c r="P178" i="6"/>
  <c r="Q178" i="6" s="1"/>
  <c r="R178" i="6"/>
  <c r="W178" i="6" s="1"/>
  <c r="P179" i="6"/>
  <c r="Q179" i="6" s="1"/>
  <c r="R179" i="6"/>
  <c r="P180" i="6"/>
  <c r="R180" i="6"/>
  <c r="P181" i="6"/>
  <c r="R181" i="6"/>
  <c r="W181" i="6" s="1"/>
  <c r="P182" i="6"/>
  <c r="R182" i="6"/>
  <c r="S182" i="6" s="1"/>
  <c r="P183" i="6"/>
  <c r="V183" i="6" s="1"/>
  <c r="R183" i="6"/>
  <c r="P184" i="6"/>
  <c r="R184" i="6"/>
  <c r="P185" i="6"/>
  <c r="V185" i="6" s="1"/>
  <c r="R185" i="6"/>
  <c r="W185" i="6" s="1"/>
  <c r="P186" i="6"/>
  <c r="R186" i="6"/>
  <c r="S186" i="6" s="1"/>
  <c r="P187" i="6"/>
  <c r="V187" i="6" s="1"/>
  <c r="R187" i="6"/>
  <c r="W187" i="6" s="1"/>
  <c r="P188" i="6"/>
  <c r="Q188" i="6" s="1"/>
  <c r="R188" i="6"/>
  <c r="S188" i="6" s="1"/>
  <c r="P189" i="6"/>
  <c r="R189" i="6"/>
  <c r="W189" i="6" s="1"/>
  <c r="P190" i="6"/>
  <c r="R190" i="6"/>
  <c r="S190" i="6" s="1"/>
  <c r="P191" i="6"/>
  <c r="Q191" i="6" s="1"/>
  <c r="R191" i="6"/>
  <c r="S191" i="6" s="1"/>
  <c r="P192" i="6"/>
  <c r="R192" i="6"/>
  <c r="P194" i="6"/>
  <c r="R194" i="6"/>
  <c r="W194" i="6" s="1"/>
  <c r="P195" i="6"/>
  <c r="R195" i="6"/>
  <c r="S195" i="6" s="1"/>
  <c r="P196" i="6"/>
  <c r="R196" i="6"/>
  <c r="W196" i="6" s="1"/>
  <c r="P197" i="6"/>
  <c r="R197" i="6"/>
  <c r="S197" i="6" s="1"/>
  <c r="P198" i="6"/>
  <c r="Q198" i="6" s="1"/>
  <c r="R198" i="6"/>
  <c r="P199" i="6"/>
  <c r="R199" i="6"/>
  <c r="P200" i="6"/>
  <c r="R200" i="6"/>
  <c r="P201" i="6"/>
  <c r="R201" i="6"/>
  <c r="S201" i="6" s="1"/>
  <c r="P193" i="6"/>
  <c r="V193" i="6" s="1"/>
  <c r="R193" i="6"/>
  <c r="S193" i="6" s="1"/>
  <c r="P202" i="6"/>
  <c r="R202" i="6"/>
  <c r="S202" i="6" s="1"/>
  <c r="P203" i="6"/>
  <c r="R203" i="6"/>
  <c r="P204" i="6"/>
  <c r="R204" i="6"/>
  <c r="P205" i="6"/>
  <c r="Q205" i="6" s="1"/>
  <c r="R205" i="6"/>
  <c r="S205" i="6" s="1"/>
  <c r="P206" i="6"/>
  <c r="R206" i="6"/>
  <c r="P207" i="6"/>
  <c r="V207" i="6" s="1"/>
  <c r="R207" i="6"/>
  <c r="W207" i="6" s="1"/>
  <c r="P208" i="6"/>
  <c r="Q208" i="6" s="1"/>
  <c r="R208" i="6"/>
  <c r="P209" i="6"/>
  <c r="V209" i="6" s="1"/>
  <c r="R209" i="6"/>
  <c r="W209" i="6" s="1"/>
  <c r="P210" i="6"/>
  <c r="R210" i="6"/>
  <c r="S210" i="6" s="1"/>
  <c r="P211" i="6"/>
  <c r="Q211" i="6" s="1"/>
  <c r="R211" i="6"/>
  <c r="P212" i="6"/>
  <c r="R212" i="6"/>
  <c r="S212" i="6" s="1"/>
  <c r="P213" i="6"/>
  <c r="R213" i="6"/>
  <c r="W213" i="6" s="1"/>
  <c r="P214" i="6"/>
  <c r="R214" i="6"/>
  <c r="P215" i="6"/>
  <c r="V215" i="6" s="1"/>
  <c r="R215" i="6"/>
  <c r="P216" i="6"/>
  <c r="Q216" i="6" s="1"/>
  <c r="R216" i="6"/>
  <c r="P217" i="6"/>
  <c r="V217" i="6" s="1"/>
  <c r="R217" i="6"/>
  <c r="S217" i="6" s="1"/>
  <c r="P218" i="6"/>
  <c r="R218" i="6"/>
  <c r="P219" i="6"/>
  <c r="V219" i="6" s="1"/>
  <c r="R219" i="6"/>
  <c r="W219" i="6" s="1"/>
  <c r="P220" i="6"/>
  <c r="R220" i="6"/>
  <c r="P221" i="6"/>
  <c r="R221" i="6"/>
  <c r="S221" i="6" s="1"/>
  <c r="P222" i="6"/>
  <c r="R222" i="6"/>
  <c r="S222" i="6" s="1"/>
  <c r="P223" i="6"/>
  <c r="Q223" i="6" s="1"/>
  <c r="R223" i="6"/>
  <c r="W223" i="6" s="1"/>
  <c r="P224" i="6"/>
  <c r="R224" i="6"/>
  <c r="S224" i="6" s="1"/>
  <c r="P225" i="6"/>
  <c r="Q225" i="6" s="1"/>
  <c r="R225" i="6"/>
  <c r="P226" i="6"/>
  <c r="R226" i="6"/>
  <c r="P227" i="6"/>
  <c r="Q227" i="6" s="1"/>
  <c r="R227" i="6"/>
  <c r="S227" i="6" s="1"/>
  <c r="P228" i="6"/>
  <c r="Q228" i="6" s="1"/>
  <c r="R228" i="6"/>
  <c r="S228" i="6" s="1"/>
  <c r="P229" i="6"/>
  <c r="R229" i="6"/>
  <c r="W229" i="6" s="1"/>
  <c r="P231" i="6"/>
  <c r="R231" i="6"/>
  <c r="P232" i="6"/>
  <c r="Q232" i="6" s="1"/>
  <c r="R232" i="6"/>
  <c r="P233" i="6"/>
  <c r="Q233" i="6" s="1"/>
  <c r="R233" i="6"/>
  <c r="S233" i="6" s="1"/>
  <c r="P234" i="6"/>
  <c r="V234" i="6" s="1"/>
  <c r="R234" i="6"/>
  <c r="W234" i="6" s="1"/>
  <c r="P235" i="6"/>
  <c r="R235" i="6"/>
  <c r="P230" i="6"/>
  <c r="R230" i="6"/>
  <c r="P236" i="6"/>
  <c r="Q236" i="6" s="1"/>
  <c r="R236" i="6"/>
  <c r="S236" i="6" s="1"/>
  <c r="P238" i="6"/>
  <c r="Q238" i="6" s="1"/>
  <c r="R238" i="6"/>
  <c r="S238" i="6" s="1"/>
  <c r="P237" i="6"/>
  <c r="Q237" i="6" s="1"/>
  <c r="R237" i="6"/>
  <c r="S237" i="6" s="1"/>
  <c r="P239" i="6"/>
  <c r="Q239" i="6" s="1"/>
  <c r="R239" i="6"/>
  <c r="S239" i="6" s="1"/>
  <c r="P240" i="6"/>
  <c r="Q240" i="6" s="1"/>
  <c r="R240" i="6"/>
  <c r="S240" i="6" s="1"/>
  <c r="P241" i="6"/>
  <c r="Q241" i="6" s="1"/>
  <c r="R241" i="6"/>
  <c r="S241" i="6" s="1"/>
  <c r="P242" i="6"/>
  <c r="Q242" i="6" s="1"/>
  <c r="R242" i="6"/>
  <c r="S242" i="6" s="1"/>
  <c r="P243" i="6"/>
  <c r="Q243" i="6" s="1"/>
  <c r="R243" i="6"/>
  <c r="S243" i="6" s="1"/>
  <c r="P244" i="6"/>
  <c r="Q244" i="6" s="1"/>
  <c r="R244" i="6"/>
  <c r="S244" i="6" s="1"/>
  <c r="P245" i="6"/>
  <c r="Q245" i="6" s="1"/>
  <c r="R245" i="6"/>
  <c r="S245" i="6" s="1"/>
  <c r="P246" i="6"/>
  <c r="Q246" i="6" s="1"/>
  <c r="R246" i="6"/>
  <c r="S246" i="6" s="1"/>
  <c r="P247" i="6"/>
  <c r="Q247" i="6" s="1"/>
  <c r="R247" i="6"/>
  <c r="S247" i="6" s="1"/>
  <c r="P249" i="6"/>
  <c r="Q249" i="6" s="1"/>
  <c r="R249" i="6"/>
  <c r="S249" i="6" s="1"/>
  <c r="P251" i="6"/>
  <c r="Q251" i="6" s="1"/>
  <c r="R251" i="6"/>
  <c r="S251" i="6" s="1"/>
  <c r="P252" i="6"/>
  <c r="Q252" i="6" s="1"/>
  <c r="R252" i="6"/>
  <c r="S252" i="6" s="1"/>
  <c r="P253" i="6"/>
  <c r="Q253" i="6" s="1"/>
  <c r="R253" i="6"/>
  <c r="S253" i="6" s="1"/>
  <c r="P254" i="6"/>
  <c r="Q254" i="6" s="1"/>
  <c r="R254" i="6"/>
  <c r="S254" i="6" s="1"/>
  <c r="P255" i="6"/>
  <c r="Q255" i="6" s="1"/>
  <c r="R255" i="6"/>
  <c r="S255" i="6" s="1"/>
  <c r="P248" i="6"/>
  <c r="Q248" i="6" s="1"/>
  <c r="R248" i="6"/>
  <c r="S248" i="6" s="1"/>
  <c r="P256" i="6"/>
  <c r="Q256" i="6" s="1"/>
  <c r="R256" i="6"/>
  <c r="S256" i="6" s="1"/>
  <c r="P257" i="6"/>
  <c r="Q257" i="6" s="1"/>
  <c r="R257" i="6"/>
  <c r="S257" i="6" s="1"/>
  <c r="P258" i="6"/>
  <c r="Q258" i="6" s="1"/>
  <c r="R258" i="6"/>
  <c r="S258" i="6" s="1"/>
  <c r="P250" i="6"/>
  <c r="Q250" i="6" s="1"/>
  <c r="R250" i="6"/>
  <c r="S250" i="6" s="1"/>
  <c r="P259" i="6"/>
  <c r="Q259" i="6" s="1"/>
  <c r="R259" i="6"/>
  <c r="S259" i="6" s="1"/>
  <c r="P260" i="6"/>
  <c r="Q260" i="6" s="1"/>
  <c r="R260" i="6"/>
  <c r="S260" i="6" s="1"/>
  <c r="P261" i="6"/>
  <c r="Q261" i="6" s="1"/>
  <c r="R261" i="6"/>
  <c r="S261" i="6" s="1"/>
  <c r="P262" i="6"/>
  <c r="Q262" i="6" s="1"/>
  <c r="R262" i="6"/>
  <c r="S262" i="6" s="1"/>
  <c r="P263" i="6"/>
  <c r="Q263" i="6" s="1"/>
  <c r="R263" i="6"/>
  <c r="S263" i="6" s="1"/>
  <c r="P264" i="6"/>
  <c r="Q264" i="6" s="1"/>
  <c r="R264" i="6"/>
  <c r="S264" i="6" s="1"/>
  <c r="P265" i="6"/>
  <c r="Q265" i="6" s="1"/>
  <c r="R265" i="6"/>
  <c r="S265" i="6" s="1"/>
  <c r="P266" i="6"/>
  <c r="Q266" i="6" s="1"/>
  <c r="R266" i="6"/>
  <c r="S266" i="6" s="1"/>
  <c r="P267" i="6"/>
  <c r="Q267" i="6" s="1"/>
  <c r="R267" i="6"/>
  <c r="S267" i="6" s="1"/>
  <c r="P268" i="6"/>
  <c r="Q268" i="6" s="1"/>
  <c r="R268" i="6"/>
  <c r="S268" i="6" s="1"/>
  <c r="P269" i="6"/>
  <c r="Q269" i="6" s="1"/>
  <c r="R269" i="6"/>
  <c r="S269" i="6" s="1"/>
  <c r="P270" i="6"/>
  <c r="Q270" i="6" s="1"/>
  <c r="R270" i="6"/>
  <c r="S270" i="6" s="1"/>
  <c r="P271" i="6"/>
  <c r="V271" i="6" s="1"/>
  <c r="R271" i="6"/>
  <c r="S271" i="6" s="1"/>
  <c r="P272" i="6"/>
  <c r="R272" i="6"/>
  <c r="S272" i="6" s="1"/>
  <c r="P273" i="6"/>
  <c r="R273" i="6"/>
  <c r="S273" i="6" s="1"/>
  <c r="P274" i="6"/>
  <c r="R274" i="6"/>
  <c r="S274" i="6" s="1"/>
  <c r="P275" i="6"/>
  <c r="Q275" i="6" s="1"/>
  <c r="R275" i="6"/>
  <c r="S275" i="6" s="1"/>
  <c r="P276" i="6"/>
  <c r="R276" i="6"/>
  <c r="S276" i="6" s="1"/>
  <c r="P277" i="6"/>
  <c r="Q277" i="6" s="1"/>
  <c r="R277" i="6"/>
  <c r="S277" i="6" s="1"/>
  <c r="P278" i="6"/>
  <c r="R278" i="6"/>
  <c r="S278" i="6" s="1"/>
  <c r="P279" i="6"/>
  <c r="V279" i="6" s="1"/>
  <c r="R279" i="6"/>
  <c r="S279" i="6" s="1"/>
  <c r="P280" i="6"/>
  <c r="R280" i="6"/>
  <c r="S280" i="6" s="1"/>
  <c r="P281" i="6"/>
  <c r="V281" i="6" s="1"/>
  <c r="R281" i="6"/>
  <c r="S281" i="6" s="1"/>
  <c r="P282" i="6"/>
  <c r="R282" i="6"/>
  <c r="S282" i="6" s="1"/>
  <c r="P283" i="6"/>
  <c r="R283" i="6"/>
  <c r="S283" i="6" s="1"/>
  <c r="P284" i="6"/>
  <c r="Q284" i="6" s="1"/>
  <c r="R284" i="6"/>
  <c r="S284" i="6" s="1"/>
  <c r="P285" i="6"/>
  <c r="Q285" i="6" s="1"/>
  <c r="R285" i="6"/>
  <c r="S285" i="6" s="1"/>
  <c r="P286" i="6"/>
  <c r="R286" i="6"/>
  <c r="P287" i="6"/>
  <c r="R287" i="6"/>
  <c r="P289" i="6"/>
  <c r="Q289" i="6" s="1"/>
  <c r="R289" i="6"/>
  <c r="S289" i="6" s="1"/>
  <c r="P288" i="6"/>
  <c r="V288" i="6" s="1"/>
  <c r="R288" i="6"/>
  <c r="S288" i="6" s="1"/>
  <c r="P290" i="6"/>
  <c r="R290" i="6"/>
  <c r="P291" i="6"/>
  <c r="Q291" i="6" s="1"/>
  <c r="R291" i="6"/>
  <c r="W291" i="6" s="1"/>
  <c r="P292" i="6"/>
  <c r="Q292" i="6" s="1"/>
  <c r="R292" i="6"/>
  <c r="P293" i="6"/>
  <c r="R293" i="6"/>
  <c r="P294" i="6"/>
  <c r="Q294" i="6" s="1"/>
  <c r="R294" i="6"/>
  <c r="S294" i="6" s="1"/>
  <c r="P295" i="6"/>
  <c r="V295" i="6" s="1"/>
  <c r="R295" i="6"/>
  <c r="P296" i="6"/>
  <c r="R296" i="6"/>
  <c r="P297" i="6"/>
  <c r="R297" i="6"/>
  <c r="W297" i="6" s="1"/>
  <c r="P298" i="6"/>
  <c r="Q298" i="6" s="1"/>
  <c r="R298" i="6"/>
  <c r="S298" i="6" s="1"/>
  <c r="P299" i="6"/>
  <c r="Q299" i="6" s="1"/>
  <c r="R299" i="6"/>
  <c r="P300" i="6"/>
  <c r="R300" i="6"/>
  <c r="P301" i="6"/>
  <c r="Q301" i="6" s="1"/>
  <c r="R301" i="6"/>
  <c r="P302" i="6"/>
  <c r="R302" i="6"/>
  <c r="S302" i="6" s="1"/>
  <c r="P303" i="6"/>
  <c r="Q303" i="6" s="1"/>
  <c r="R303" i="6"/>
  <c r="S303" i="6" s="1"/>
  <c r="P304" i="6"/>
  <c r="R304" i="6"/>
  <c r="P305" i="6"/>
  <c r="V305" i="6" s="1"/>
  <c r="R305" i="6"/>
  <c r="W305" i="6" s="1"/>
  <c r="P306" i="6"/>
  <c r="Q306" i="6" s="1"/>
  <c r="R306" i="6"/>
  <c r="P307" i="6"/>
  <c r="V307" i="6" s="1"/>
  <c r="R307" i="6"/>
  <c r="W307" i="6" s="1"/>
  <c r="P308" i="6"/>
  <c r="Q308" i="6" s="1"/>
  <c r="R308" i="6"/>
  <c r="P309" i="6"/>
  <c r="Q309" i="6" s="1"/>
  <c r="R309" i="6"/>
  <c r="W309" i="6" s="1"/>
  <c r="P310" i="6"/>
  <c r="R310" i="6"/>
  <c r="S310" i="6" s="1"/>
  <c r="P311" i="6"/>
  <c r="V311" i="6" s="1"/>
  <c r="R311" i="6"/>
  <c r="S311" i="6" s="1"/>
  <c r="P312" i="6"/>
  <c r="Q312" i="6" s="1"/>
  <c r="R312" i="6"/>
  <c r="S312" i="6" s="1"/>
  <c r="P313" i="6"/>
  <c r="V313" i="6" s="1"/>
  <c r="R313" i="6"/>
  <c r="W313" i="6" s="1"/>
  <c r="P314" i="6"/>
  <c r="R314" i="6"/>
  <c r="P315" i="6"/>
  <c r="Q315" i="6" s="1"/>
  <c r="R315" i="6"/>
  <c r="W315" i="6" s="1"/>
  <c r="P316" i="6"/>
  <c r="Q316" i="6" s="1"/>
  <c r="R316" i="6"/>
  <c r="S316" i="6" s="1"/>
  <c r="P317" i="6"/>
  <c r="Q317" i="6" s="1"/>
  <c r="R317" i="6"/>
  <c r="W317" i="6" s="1"/>
  <c r="P318" i="6"/>
  <c r="Q318" i="6" s="1"/>
  <c r="R318" i="6"/>
  <c r="P319" i="6"/>
  <c r="V319" i="6" s="1"/>
  <c r="R319" i="6"/>
  <c r="S319" i="6" s="1"/>
  <c r="P320" i="6"/>
  <c r="R320" i="6"/>
  <c r="S320" i="6" s="1"/>
  <c r="P321" i="6"/>
  <c r="Q321" i="6" s="1"/>
  <c r="R321" i="6"/>
  <c r="W321" i="6" s="1"/>
  <c r="P322" i="6"/>
  <c r="Q322" i="6" s="1"/>
  <c r="R322" i="6"/>
  <c r="W322" i="6" s="1"/>
  <c r="P323" i="6"/>
  <c r="R323" i="6"/>
  <c r="P324" i="6"/>
  <c r="Q324" i="6" s="1"/>
  <c r="R324" i="6"/>
  <c r="W324" i="6" s="1"/>
  <c r="P325" i="6"/>
  <c r="Q325" i="6" s="1"/>
  <c r="R325" i="6"/>
  <c r="P326" i="6"/>
  <c r="V326" i="6" s="1"/>
  <c r="R326" i="6"/>
  <c r="S326" i="6" s="1"/>
  <c r="P327" i="6"/>
  <c r="R327" i="6"/>
  <c r="P328" i="6"/>
  <c r="V328" i="6" s="1"/>
  <c r="R328" i="6"/>
  <c r="P329" i="6"/>
  <c r="Q329" i="6" s="1"/>
  <c r="R329" i="6"/>
  <c r="P330" i="6"/>
  <c r="Q330" i="6" s="1"/>
  <c r="R330" i="6"/>
  <c r="W330" i="6" s="1"/>
  <c r="P331" i="6"/>
  <c r="Q331" i="6" s="1"/>
  <c r="R331" i="6"/>
  <c r="P332" i="6"/>
  <c r="R332" i="6"/>
  <c r="W332" i="6" s="1"/>
  <c r="P333" i="6"/>
  <c r="Q333" i="6" s="1"/>
  <c r="R333" i="6"/>
  <c r="P334" i="6"/>
  <c r="V334" i="6" s="1"/>
  <c r="R334" i="6"/>
  <c r="P335" i="6"/>
  <c r="Q335" i="6" s="1"/>
  <c r="R335" i="6"/>
  <c r="S335" i="6" s="1"/>
  <c r="P336" i="6"/>
  <c r="V336" i="6" s="1"/>
  <c r="R336" i="6"/>
  <c r="W336" i="6" s="1"/>
  <c r="P337" i="6"/>
  <c r="R337" i="6"/>
  <c r="P338" i="6"/>
  <c r="Q338" i="6" s="1"/>
  <c r="R338" i="6"/>
  <c r="W338" i="6" s="1"/>
  <c r="P339" i="6"/>
  <c r="Q339" i="6" s="1"/>
  <c r="R339" i="6"/>
  <c r="S339" i="6" s="1"/>
  <c r="P340" i="6"/>
  <c r="V340" i="6" s="1"/>
  <c r="R340" i="6"/>
  <c r="W340" i="6" s="1"/>
  <c r="P341" i="6"/>
  <c r="R341" i="6"/>
  <c r="P342" i="6"/>
  <c r="R342" i="6"/>
  <c r="W342" i="6" s="1"/>
  <c r="P343" i="6"/>
  <c r="Q343" i="6" s="1"/>
  <c r="R343" i="6"/>
  <c r="S343" i="6" s="1"/>
  <c r="P344" i="6"/>
  <c r="Q344" i="6" s="1"/>
  <c r="R344" i="6"/>
  <c r="W344" i="6" s="1"/>
  <c r="P345" i="6"/>
  <c r="R345" i="6"/>
  <c r="P346" i="6"/>
  <c r="Q346" i="6" s="1"/>
  <c r="R346" i="6"/>
  <c r="W346" i="6" s="1"/>
  <c r="P347" i="6"/>
  <c r="Q347" i="6" s="1"/>
  <c r="R347" i="6"/>
  <c r="P348" i="6"/>
  <c r="Q348" i="6" s="1"/>
  <c r="R348" i="6"/>
  <c r="S348" i="6" s="1"/>
  <c r="P349" i="6"/>
  <c r="Q349" i="6" s="1"/>
  <c r="R349" i="6"/>
  <c r="P350" i="6"/>
  <c r="V350" i="6" s="1"/>
  <c r="R350" i="6"/>
  <c r="W350" i="6" s="1"/>
  <c r="P351" i="6"/>
  <c r="R351" i="6"/>
  <c r="P352" i="6"/>
  <c r="V352" i="6" s="1"/>
  <c r="R352" i="6"/>
  <c r="S352" i="6" s="1"/>
  <c r="P353" i="6"/>
  <c r="Q353" i="6" s="1"/>
  <c r="R353" i="6"/>
  <c r="P354" i="6"/>
  <c r="Q354" i="6" s="1"/>
  <c r="R354" i="6"/>
  <c r="W354" i="6" s="1"/>
  <c r="P355" i="6"/>
  <c r="R355" i="6"/>
  <c r="P356" i="6"/>
  <c r="Q356" i="6" s="1"/>
  <c r="R356" i="6"/>
  <c r="W356" i="6" s="1"/>
  <c r="P357" i="6"/>
  <c r="R357" i="6"/>
  <c r="P358" i="6"/>
  <c r="V358" i="6" s="1"/>
  <c r="R358" i="6"/>
  <c r="W358" i="6" s="1"/>
  <c r="P359" i="6"/>
  <c r="R359" i="6"/>
  <c r="P360" i="6"/>
  <c r="V360" i="6" s="1"/>
  <c r="R360" i="6"/>
  <c r="W360" i="6" s="1"/>
  <c r="P361" i="6"/>
  <c r="R361" i="6"/>
  <c r="P362" i="6"/>
  <c r="Q362" i="6" s="1"/>
  <c r="R362" i="6"/>
  <c r="S362" i="6" s="1"/>
  <c r="P363" i="6"/>
  <c r="R363" i="6"/>
  <c r="P364" i="6"/>
  <c r="V364" i="6" s="1"/>
  <c r="R364" i="6"/>
  <c r="W364" i="6" s="1"/>
  <c r="P365" i="6"/>
  <c r="Q365" i="6" s="1"/>
  <c r="R365" i="6"/>
  <c r="P366" i="6"/>
  <c r="V366" i="6" s="1"/>
  <c r="R366" i="6"/>
  <c r="S366" i="6" s="1"/>
  <c r="P367" i="6"/>
  <c r="Q367" i="6" s="1"/>
  <c r="R367" i="6"/>
  <c r="S367" i="6" s="1"/>
  <c r="P368" i="6"/>
  <c r="R368" i="6"/>
  <c r="W368" i="6" s="1"/>
  <c r="P369" i="6"/>
  <c r="R369" i="6"/>
  <c r="P370" i="6"/>
  <c r="Q370" i="6" s="1"/>
  <c r="R370" i="6"/>
  <c r="W370" i="6" s="1"/>
  <c r="P371" i="6"/>
  <c r="Q371" i="6" s="1"/>
  <c r="R371" i="6"/>
  <c r="S371" i="6" s="1"/>
  <c r="P372" i="6"/>
  <c r="V372" i="6" s="1"/>
  <c r="R372" i="6"/>
  <c r="P374" i="6"/>
  <c r="R374" i="6"/>
  <c r="P376" i="6"/>
  <c r="V376" i="6" s="1"/>
  <c r="R376" i="6"/>
  <c r="W376" i="6" s="1"/>
  <c r="P377" i="6"/>
  <c r="R377" i="6"/>
  <c r="S377" i="6" s="1"/>
  <c r="P373" i="6"/>
  <c r="V373" i="6" s="1"/>
  <c r="R373" i="6"/>
  <c r="W373" i="6" s="1"/>
  <c r="P375" i="6"/>
  <c r="R375" i="6"/>
  <c r="P378" i="6"/>
  <c r="R378" i="6"/>
  <c r="W378" i="6" s="1"/>
  <c r="P379" i="6"/>
  <c r="Q379" i="6" s="1"/>
  <c r="R379" i="6"/>
  <c r="S379" i="6" s="1"/>
  <c r="P380" i="6"/>
  <c r="V380" i="6" s="1"/>
  <c r="R380" i="6"/>
  <c r="W380" i="6" s="1"/>
  <c r="P381" i="6"/>
  <c r="Q381" i="6" s="1"/>
  <c r="R381" i="6"/>
  <c r="P382" i="6"/>
  <c r="R382" i="6"/>
  <c r="W382" i="6" s="1"/>
  <c r="P383" i="6"/>
  <c r="R383" i="6"/>
  <c r="S383" i="6" s="1"/>
  <c r="P384" i="6"/>
  <c r="V384" i="6" s="1"/>
  <c r="R384" i="6"/>
  <c r="S384" i="6" s="1"/>
  <c r="P385" i="6"/>
  <c r="Q385" i="6" s="1"/>
  <c r="R385" i="6"/>
  <c r="P386" i="6"/>
  <c r="Q386" i="6" s="1"/>
  <c r="R386" i="6"/>
  <c r="S386" i="6" s="1"/>
  <c r="P387" i="6"/>
  <c r="Q387" i="6" s="1"/>
  <c r="R387" i="6"/>
  <c r="S387" i="6" s="1"/>
  <c r="P395" i="6"/>
  <c r="Q395" i="6" s="1"/>
  <c r="R395" i="6"/>
  <c r="S395" i="6" s="1"/>
  <c r="P388" i="6"/>
  <c r="Q388" i="6" s="1"/>
  <c r="R388" i="6"/>
  <c r="S388" i="6" s="1"/>
  <c r="P428" i="6"/>
  <c r="Q428" i="6" s="1"/>
  <c r="R428" i="6"/>
  <c r="S428" i="6" s="1"/>
  <c r="P389" i="6"/>
  <c r="Q389" i="6" s="1"/>
  <c r="R389" i="6"/>
  <c r="S389" i="6" s="1"/>
  <c r="P390" i="6"/>
  <c r="Q390" i="6" s="1"/>
  <c r="R390" i="6"/>
  <c r="S390" i="6" s="1"/>
  <c r="P391" i="6"/>
  <c r="Q391" i="6" s="1"/>
  <c r="R391" i="6"/>
  <c r="S391" i="6" s="1"/>
  <c r="P392" i="6"/>
  <c r="Q392" i="6" s="1"/>
  <c r="R392" i="6"/>
  <c r="S392" i="6" s="1"/>
  <c r="P393" i="6"/>
  <c r="Q393" i="6" s="1"/>
  <c r="R393" i="6"/>
  <c r="S393" i="6" s="1"/>
  <c r="P394" i="6"/>
  <c r="Q394" i="6" s="1"/>
  <c r="R394" i="6"/>
  <c r="S394" i="6" s="1"/>
  <c r="P396" i="6"/>
  <c r="Q396" i="6" s="1"/>
  <c r="R396" i="6"/>
  <c r="S396" i="6" s="1"/>
  <c r="P397" i="6"/>
  <c r="Q397" i="6" s="1"/>
  <c r="R397" i="6"/>
  <c r="S397" i="6" s="1"/>
  <c r="P398" i="6"/>
  <c r="Q398" i="6" s="1"/>
  <c r="R398" i="6"/>
  <c r="S398" i="6" s="1"/>
  <c r="P399" i="6"/>
  <c r="Q399" i="6" s="1"/>
  <c r="R399" i="6"/>
  <c r="S399" i="6" s="1"/>
  <c r="P400" i="6"/>
  <c r="Q400" i="6" s="1"/>
  <c r="R400" i="6"/>
  <c r="S400" i="6" s="1"/>
  <c r="P401" i="6"/>
  <c r="Q401" i="6" s="1"/>
  <c r="R401" i="6"/>
  <c r="S401" i="6" s="1"/>
  <c r="P402" i="6"/>
  <c r="Q402" i="6" s="1"/>
  <c r="R402" i="6"/>
  <c r="S402" i="6" s="1"/>
  <c r="P403" i="6"/>
  <c r="Q403" i="6" s="1"/>
  <c r="R403" i="6"/>
  <c r="S403" i="6" s="1"/>
  <c r="P404" i="6"/>
  <c r="Q404" i="6" s="1"/>
  <c r="R404" i="6"/>
  <c r="S404" i="6" s="1"/>
  <c r="P405" i="6"/>
  <c r="Q405" i="6" s="1"/>
  <c r="R405" i="6"/>
  <c r="S405" i="6" s="1"/>
  <c r="P406" i="6"/>
  <c r="Q406" i="6" s="1"/>
  <c r="R406" i="6"/>
  <c r="S406" i="6" s="1"/>
  <c r="P407" i="6"/>
  <c r="Q407" i="6" s="1"/>
  <c r="R407" i="6"/>
  <c r="S407" i="6" s="1"/>
  <c r="P408" i="6"/>
  <c r="Q408" i="6" s="1"/>
  <c r="R408" i="6"/>
  <c r="S408" i="6" s="1"/>
  <c r="P409" i="6"/>
  <c r="Q409" i="6" s="1"/>
  <c r="R409" i="6"/>
  <c r="S409" i="6" s="1"/>
  <c r="P410" i="6"/>
  <c r="Q410" i="6" s="1"/>
  <c r="R410" i="6"/>
  <c r="S410" i="6" s="1"/>
  <c r="P411" i="6"/>
  <c r="Q411" i="6" s="1"/>
  <c r="R411" i="6"/>
  <c r="S411" i="6" s="1"/>
  <c r="P412" i="6"/>
  <c r="Q412" i="6" s="1"/>
  <c r="R412" i="6"/>
  <c r="S412" i="6" s="1"/>
  <c r="P413" i="6"/>
  <c r="Q413" i="6" s="1"/>
  <c r="R413" i="6"/>
  <c r="S413" i="6" s="1"/>
  <c r="P414" i="6"/>
  <c r="Q414" i="6" s="1"/>
  <c r="R414" i="6"/>
  <c r="S414" i="6" s="1"/>
  <c r="P415" i="6"/>
  <c r="Q415" i="6" s="1"/>
  <c r="R415" i="6"/>
  <c r="S415" i="6" s="1"/>
  <c r="P417" i="6"/>
  <c r="Q417" i="6" s="1"/>
  <c r="R417" i="6"/>
  <c r="S417" i="6" s="1"/>
  <c r="P418" i="6"/>
  <c r="Q418" i="6" s="1"/>
  <c r="R418" i="6"/>
  <c r="S418" i="6" s="1"/>
  <c r="P419" i="6"/>
  <c r="Q419" i="6" s="1"/>
  <c r="R419" i="6"/>
  <c r="S419" i="6" s="1"/>
  <c r="P420" i="6"/>
  <c r="Q420" i="6" s="1"/>
  <c r="R420" i="6"/>
  <c r="S420" i="6" s="1"/>
  <c r="P421" i="6"/>
  <c r="Q421" i="6" s="1"/>
  <c r="R421" i="6"/>
  <c r="S421" i="6" s="1"/>
  <c r="P422" i="6"/>
  <c r="Q422" i="6" s="1"/>
  <c r="R422" i="6"/>
  <c r="S422" i="6" s="1"/>
  <c r="P423" i="6"/>
  <c r="Q423" i="6" s="1"/>
  <c r="R423" i="6"/>
  <c r="S423" i="6" s="1"/>
  <c r="P424" i="6"/>
  <c r="Q424" i="6" s="1"/>
  <c r="R424" i="6"/>
  <c r="S424" i="6" s="1"/>
  <c r="P425" i="6"/>
  <c r="Q425" i="6" s="1"/>
  <c r="R425" i="6"/>
  <c r="S425" i="6" s="1"/>
  <c r="P426" i="6"/>
  <c r="Q426" i="6" s="1"/>
  <c r="R426" i="6"/>
  <c r="S426" i="6" s="1"/>
  <c r="P427" i="6"/>
  <c r="Q427" i="6" s="1"/>
  <c r="R427" i="6"/>
  <c r="S427" i="6" s="1"/>
  <c r="P429" i="6"/>
  <c r="Q429" i="6" s="1"/>
  <c r="R429" i="6"/>
  <c r="S429" i="6" s="1"/>
  <c r="P430" i="6"/>
  <c r="Q430" i="6" s="1"/>
  <c r="R430" i="6"/>
  <c r="S430" i="6" s="1"/>
  <c r="P431" i="6"/>
  <c r="Q431" i="6" s="1"/>
  <c r="R431" i="6"/>
  <c r="S431" i="6" s="1"/>
  <c r="P432" i="6"/>
  <c r="Q432" i="6" s="1"/>
  <c r="R432" i="6"/>
  <c r="S432" i="6" s="1"/>
  <c r="P416" i="6"/>
  <c r="Q416" i="6" s="1"/>
  <c r="R416" i="6"/>
  <c r="S416" i="6" s="1"/>
  <c r="P433" i="6"/>
  <c r="Q433" i="6" s="1"/>
  <c r="R433" i="6"/>
  <c r="S433" i="6" s="1"/>
  <c r="P434" i="6"/>
  <c r="R434" i="6"/>
  <c r="P435" i="6"/>
  <c r="V435" i="6" s="1"/>
  <c r="R435" i="6"/>
  <c r="W435" i="6" s="1"/>
  <c r="P436" i="6"/>
  <c r="Q436" i="6" s="1"/>
  <c r="R436" i="6"/>
  <c r="P437" i="6"/>
  <c r="Q437" i="6" s="1"/>
  <c r="R437" i="6"/>
  <c r="W437" i="6" s="1"/>
  <c r="P438" i="6"/>
  <c r="R438" i="6"/>
  <c r="S438" i="6" s="1"/>
  <c r="P439" i="6"/>
  <c r="V439" i="6" s="1"/>
  <c r="R439" i="6"/>
  <c r="S439" i="6" s="1"/>
  <c r="P440" i="6"/>
  <c r="Q440" i="6" s="1"/>
  <c r="R440" i="6"/>
  <c r="S440" i="6" s="1"/>
  <c r="P441" i="6"/>
  <c r="Q441" i="6" s="1"/>
  <c r="R441" i="6"/>
  <c r="S441" i="6" s="1"/>
  <c r="P442" i="6"/>
  <c r="R442" i="6"/>
  <c r="P443" i="6"/>
  <c r="V443" i="6" s="1"/>
  <c r="R443" i="6"/>
  <c r="W443" i="6" s="1"/>
  <c r="P444" i="6"/>
  <c r="Q444" i="6" s="1"/>
  <c r="R444" i="6"/>
  <c r="P445" i="6"/>
  <c r="Q445" i="6" s="1"/>
  <c r="R445" i="6"/>
  <c r="W445" i="6" s="1"/>
  <c r="P447" i="6"/>
  <c r="Q447" i="6" s="1"/>
  <c r="R447" i="6"/>
  <c r="P449" i="6"/>
  <c r="R449" i="6"/>
  <c r="P450" i="6"/>
  <c r="Q450" i="6" s="1"/>
  <c r="R450" i="6"/>
  <c r="P451" i="6"/>
  <c r="V451" i="6" s="1"/>
  <c r="R451" i="6"/>
  <c r="W451" i="6" s="1"/>
  <c r="P452" i="6"/>
  <c r="R452" i="6"/>
  <c r="S452" i="6" s="1"/>
  <c r="P446" i="6"/>
  <c r="V446" i="6" s="1"/>
  <c r="R446" i="6"/>
  <c r="W446" i="6" s="1"/>
  <c r="P453" i="6"/>
  <c r="R453" i="6"/>
  <c r="P454" i="6"/>
  <c r="R454" i="6"/>
  <c r="W454" i="6" s="1"/>
  <c r="P455" i="6"/>
  <c r="Q455" i="6" s="1"/>
  <c r="R455" i="6"/>
  <c r="S455" i="6" s="1"/>
  <c r="P448" i="6"/>
  <c r="Q448" i="6" s="1"/>
  <c r="R448" i="6"/>
  <c r="P456" i="6"/>
  <c r="R456" i="6"/>
  <c r="P457" i="6"/>
  <c r="Q457" i="6" s="1"/>
  <c r="R457" i="6"/>
  <c r="S457" i="6" s="1"/>
  <c r="P458" i="6"/>
  <c r="R458" i="6"/>
  <c r="S458" i="6" s="1"/>
  <c r="P459" i="6"/>
  <c r="V459" i="6" s="1"/>
  <c r="R459" i="6"/>
  <c r="W459" i="6" s="1"/>
  <c r="P460" i="6"/>
  <c r="R460" i="6"/>
  <c r="P461" i="6"/>
  <c r="R461" i="6"/>
  <c r="W461" i="6" s="1"/>
  <c r="P462" i="6"/>
  <c r="Q462" i="6" s="1"/>
  <c r="R462" i="6"/>
  <c r="P463" i="6"/>
  <c r="Q463" i="6" s="1"/>
  <c r="R463" i="6"/>
  <c r="S463" i="6" s="1"/>
  <c r="P464" i="6"/>
  <c r="Q464" i="6" s="1"/>
  <c r="R464" i="6"/>
  <c r="P465" i="6"/>
  <c r="Q465" i="6" s="1"/>
  <c r="R465" i="6"/>
  <c r="S465" i="6" s="1"/>
  <c r="P466" i="6"/>
  <c r="Q466" i="6" s="1"/>
  <c r="R466" i="6"/>
  <c r="S466" i="6" s="1"/>
  <c r="P468" i="6"/>
  <c r="V468" i="6" s="1"/>
  <c r="R468" i="6"/>
  <c r="W468" i="6" s="1"/>
  <c r="P469" i="6"/>
  <c r="Q469" i="6" s="1"/>
  <c r="R469" i="6"/>
  <c r="S469" i="6" s="1"/>
  <c r="P470" i="6"/>
  <c r="Q470" i="6" s="1"/>
  <c r="R470" i="6"/>
  <c r="S470" i="6" s="1"/>
  <c r="P467" i="6"/>
  <c r="Q467" i="6" s="1"/>
  <c r="R467" i="6"/>
  <c r="S467" i="6" s="1"/>
  <c r="P471" i="6"/>
  <c r="Q471" i="6" s="1"/>
  <c r="R471" i="6"/>
  <c r="S471" i="6" s="1"/>
  <c r="P472" i="6"/>
  <c r="Q472" i="6" s="1"/>
  <c r="R472" i="6"/>
  <c r="S472" i="6" s="1"/>
  <c r="P473" i="6"/>
  <c r="V473" i="6" s="1"/>
  <c r="R473" i="6"/>
  <c r="W473" i="6" s="1"/>
  <c r="P474" i="6"/>
  <c r="R474" i="6"/>
  <c r="S474" i="6" s="1"/>
  <c r="P476" i="6"/>
  <c r="V476" i="6" s="1"/>
  <c r="R476" i="6"/>
  <c r="W476" i="6" s="1"/>
  <c r="P477" i="6"/>
  <c r="Q477" i="6" s="1"/>
  <c r="R477" i="6"/>
  <c r="P479" i="6"/>
  <c r="Q479" i="6" s="1"/>
  <c r="R479" i="6"/>
  <c r="W479" i="6" s="1"/>
  <c r="P480" i="6"/>
  <c r="R480" i="6"/>
  <c r="P482" i="6"/>
  <c r="V482" i="6" s="1"/>
  <c r="R482" i="6"/>
  <c r="P483" i="6"/>
  <c r="V483" i="6" s="1"/>
  <c r="R483" i="6"/>
  <c r="P475" i="6"/>
  <c r="Q475" i="6" s="1"/>
  <c r="R475" i="6"/>
  <c r="S475" i="6" s="1"/>
  <c r="P484" i="6"/>
  <c r="V484" i="6" s="1"/>
  <c r="R484" i="6"/>
  <c r="P485" i="6"/>
  <c r="R485" i="6"/>
  <c r="W485" i="6" s="1"/>
  <c r="P478" i="6"/>
  <c r="V478" i="6" s="1"/>
  <c r="R478" i="6"/>
  <c r="P486" i="6"/>
  <c r="Q486" i="6" s="1"/>
  <c r="R486" i="6"/>
  <c r="S486" i="6" s="1"/>
  <c r="P481" i="6"/>
  <c r="V481" i="6" s="1"/>
  <c r="R481" i="6"/>
  <c r="P487" i="6"/>
  <c r="Q487" i="6" s="1"/>
  <c r="R487" i="6"/>
  <c r="S487" i="6" s="1"/>
  <c r="P488" i="6"/>
  <c r="Q488" i="6" s="1"/>
  <c r="R488" i="6"/>
  <c r="S488" i="6" s="1"/>
  <c r="P489" i="6"/>
  <c r="Q489" i="6" s="1"/>
  <c r="R489" i="6"/>
  <c r="S489" i="6" s="1"/>
  <c r="P490" i="6"/>
  <c r="Q490" i="6" s="1"/>
  <c r="R490" i="6"/>
  <c r="S490" i="6" s="1"/>
  <c r="P491" i="6"/>
  <c r="Q491" i="6" s="1"/>
  <c r="R491" i="6"/>
  <c r="S491" i="6" s="1"/>
  <c r="P492" i="6"/>
  <c r="Q492" i="6" s="1"/>
  <c r="R492" i="6"/>
  <c r="S492" i="6" s="1"/>
  <c r="P493" i="6"/>
  <c r="Q493" i="6" s="1"/>
  <c r="R493" i="6"/>
  <c r="S493" i="6" s="1"/>
  <c r="P494" i="6"/>
  <c r="Q494" i="6" s="1"/>
  <c r="R494" i="6"/>
  <c r="S494" i="6" s="1"/>
  <c r="P495" i="6"/>
  <c r="Q495" i="6" s="1"/>
  <c r="R495" i="6"/>
  <c r="S495" i="6" s="1"/>
  <c r="P496" i="6"/>
  <c r="Q496" i="6" s="1"/>
  <c r="R496" i="6"/>
  <c r="S496" i="6" s="1"/>
  <c r="P497" i="6"/>
  <c r="Q497" i="6" s="1"/>
  <c r="R497" i="6"/>
  <c r="S497" i="6" s="1"/>
  <c r="P498" i="6"/>
  <c r="Q498" i="6" s="1"/>
  <c r="R498" i="6"/>
  <c r="S498" i="6" s="1"/>
  <c r="P499" i="6"/>
  <c r="Q499" i="6" s="1"/>
  <c r="R499" i="6"/>
  <c r="S499" i="6" s="1"/>
  <c r="P500" i="6"/>
  <c r="Q500" i="6" s="1"/>
  <c r="R500" i="6"/>
  <c r="S500" i="6" s="1"/>
  <c r="P501" i="6"/>
  <c r="Q501" i="6" s="1"/>
  <c r="R501" i="6"/>
  <c r="S501" i="6" s="1"/>
  <c r="P502" i="6"/>
  <c r="Q502" i="6" s="1"/>
  <c r="R502" i="6"/>
  <c r="S502" i="6" s="1"/>
  <c r="P503" i="6"/>
  <c r="Q503" i="6" s="1"/>
  <c r="R503" i="6"/>
  <c r="S503" i="6" s="1"/>
  <c r="P504" i="6"/>
  <c r="Q504" i="6" s="1"/>
  <c r="R504" i="6"/>
  <c r="S504" i="6" s="1"/>
  <c r="P505" i="6"/>
  <c r="Q505" i="6" s="1"/>
  <c r="R505" i="6"/>
  <c r="S505" i="6" s="1"/>
  <c r="P506" i="6"/>
  <c r="Q506" i="6" s="1"/>
  <c r="R506" i="6"/>
  <c r="S506" i="6" s="1"/>
  <c r="P507" i="6"/>
  <c r="Q507" i="6" s="1"/>
  <c r="R507" i="6"/>
  <c r="S507" i="6" s="1"/>
  <c r="P508" i="6"/>
  <c r="Q508" i="6" s="1"/>
  <c r="R508" i="6"/>
  <c r="S508" i="6" s="1"/>
  <c r="P509" i="6"/>
  <c r="Q509" i="6" s="1"/>
  <c r="R509" i="6"/>
  <c r="S509" i="6" s="1"/>
  <c r="P510" i="6"/>
  <c r="Q510" i="6" s="1"/>
  <c r="R510" i="6"/>
  <c r="S510" i="6" s="1"/>
  <c r="P511" i="6"/>
  <c r="Q511" i="6" s="1"/>
  <c r="R511" i="6"/>
  <c r="S511" i="6" s="1"/>
  <c r="P512" i="6"/>
  <c r="Q512" i="6" s="1"/>
  <c r="R512" i="6"/>
  <c r="S512" i="6" s="1"/>
  <c r="P513" i="6"/>
  <c r="Q513" i="6" s="1"/>
  <c r="R513" i="6"/>
  <c r="S513" i="6" s="1"/>
  <c r="P514" i="6"/>
  <c r="V514" i="6" s="1"/>
  <c r="R514" i="6"/>
  <c r="P515" i="6"/>
  <c r="R515" i="6"/>
  <c r="W515" i="6" s="1"/>
  <c r="P516" i="6"/>
  <c r="Q516" i="6" s="1"/>
  <c r="R516" i="6"/>
  <c r="P517" i="6"/>
  <c r="R517" i="6"/>
  <c r="W517" i="6" s="1"/>
  <c r="P518" i="6"/>
  <c r="V518" i="6" s="1"/>
  <c r="R518" i="6"/>
  <c r="S518" i="6" s="1"/>
  <c r="P519" i="6"/>
  <c r="R519" i="6"/>
  <c r="W519" i="6" s="1"/>
  <c r="P520" i="6"/>
  <c r="V520" i="6" s="1"/>
  <c r="R520" i="6"/>
  <c r="P521" i="6"/>
  <c r="Q521" i="6" s="1"/>
  <c r="R521" i="6"/>
  <c r="W521" i="6" s="1"/>
  <c r="P522" i="6"/>
  <c r="V522" i="6" s="1"/>
  <c r="R522" i="6"/>
  <c r="S522" i="6" s="1"/>
  <c r="P523" i="6"/>
  <c r="Q523" i="6" s="1"/>
  <c r="R523" i="6"/>
  <c r="W523" i="6" s="1"/>
  <c r="P524" i="6"/>
  <c r="V524" i="6" s="1"/>
  <c r="R524" i="6"/>
  <c r="P525" i="6"/>
  <c r="R525" i="6"/>
  <c r="W525" i="6" s="1"/>
  <c r="P526" i="6"/>
  <c r="V526" i="6" s="1"/>
  <c r="R526" i="6"/>
  <c r="S526" i="6" s="1"/>
  <c r="P527" i="6"/>
  <c r="Q527" i="6" s="1"/>
  <c r="R527" i="6"/>
  <c r="W527" i="6" s="1"/>
  <c r="P528" i="6"/>
  <c r="V528" i="6" s="1"/>
  <c r="R528" i="6"/>
  <c r="P529" i="6"/>
  <c r="R529" i="6"/>
  <c r="W529" i="6" s="1"/>
  <c r="P530" i="6"/>
  <c r="V530" i="6" s="1"/>
  <c r="R530" i="6"/>
  <c r="P531" i="6"/>
  <c r="Q531" i="6" s="1"/>
  <c r="R531" i="6"/>
  <c r="W531" i="6" s="1"/>
  <c r="P532" i="6"/>
  <c r="Q532" i="6" s="1"/>
  <c r="R532" i="6"/>
  <c r="P533" i="6"/>
  <c r="R533" i="6"/>
  <c r="W533" i="6" s="1"/>
  <c r="P534" i="6"/>
  <c r="V534" i="6" s="1"/>
  <c r="R534" i="6"/>
  <c r="S534" i="6" s="1"/>
  <c r="P535" i="6"/>
  <c r="R535" i="6"/>
  <c r="W535" i="6" s="1"/>
  <c r="P536" i="6"/>
  <c r="V536" i="6" s="1"/>
  <c r="R536" i="6"/>
  <c r="P537" i="6"/>
  <c r="Q537" i="6" s="1"/>
  <c r="R537" i="6"/>
  <c r="W537" i="6" s="1"/>
  <c r="P538" i="6"/>
  <c r="V538" i="6" s="1"/>
  <c r="R538" i="6"/>
  <c r="P539" i="6"/>
  <c r="R539" i="6"/>
  <c r="W539" i="6" s="1"/>
  <c r="P540" i="6"/>
  <c r="V540" i="6" s="1"/>
  <c r="R540" i="6"/>
  <c r="P542" i="6"/>
  <c r="Q542" i="6" s="1"/>
  <c r="R542" i="6"/>
  <c r="W542" i="6" s="1"/>
  <c r="P543" i="6"/>
  <c r="V543" i="6" s="1"/>
  <c r="R543" i="6"/>
  <c r="P544" i="6"/>
  <c r="R544" i="6"/>
  <c r="S544" i="6" s="1"/>
  <c r="P545" i="6"/>
  <c r="V545" i="6" s="1"/>
  <c r="R545" i="6"/>
  <c r="P541" i="6"/>
  <c r="Q541" i="6" s="1"/>
  <c r="R541" i="6"/>
  <c r="W541" i="6" s="1"/>
  <c r="P546" i="6"/>
  <c r="V546" i="6" s="1"/>
  <c r="R546" i="6"/>
  <c r="P547" i="6"/>
  <c r="R547" i="6"/>
  <c r="W547" i="6" s="1"/>
  <c r="P548" i="6"/>
  <c r="Q548" i="6" s="1"/>
  <c r="R548" i="6"/>
  <c r="P549" i="6"/>
  <c r="R549" i="6"/>
  <c r="W549" i="6" s="1"/>
  <c r="P550" i="6"/>
  <c r="V550" i="6" s="1"/>
  <c r="R550" i="6"/>
  <c r="S550" i="6" s="1"/>
  <c r="P551" i="6"/>
  <c r="R551" i="6"/>
  <c r="W551" i="6" s="1"/>
  <c r="P552" i="6"/>
  <c r="V552" i="6" s="1"/>
  <c r="R552" i="6"/>
  <c r="P553" i="6"/>
  <c r="Q553" i="6" s="1"/>
  <c r="R553" i="6"/>
  <c r="W553" i="6" s="1"/>
  <c r="P554" i="6"/>
  <c r="V554" i="6" s="1"/>
  <c r="R554" i="6"/>
  <c r="S554" i="6" s="1"/>
  <c r="P555" i="6"/>
  <c r="R555" i="6"/>
  <c r="W555" i="6" s="1"/>
  <c r="P556" i="6"/>
  <c r="V556" i="6" s="1"/>
  <c r="R556" i="6"/>
  <c r="P557" i="6"/>
  <c r="R557" i="6"/>
  <c r="W557" i="6" s="1"/>
  <c r="P558" i="6"/>
  <c r="V558" i="6" s="1"/>
  <c r="R558" i="6"/>
  <c r="S558" i="6" s="1"/>
  <c r="P559" i="6"/>
  <c r="Q559" i="6" s="1"/>
  <c r="R559" i="6"/>
  <c r="W559" i="6" s="1"/>
  <c r="P560" i="6"/>
  <c r="V560" i="6" s="1"/>
  <c r="R560" i="6"/>
  <c r="P561" i="6"/>
  <c r="R561" i="6"/>
  <c r="W561" i="6" s="1"/>
  <c r="P562" i="6"/>
  <c r="Q562" i="6" s="1"/>
  <c r="R562" i="6"/>
  <c r="P564" i="6"/>
  <c r="Q564" i="6" s="1"/>
  <c r="R564" i="6"/>
  <c r="W564" i="6" s="1"/>
  <c r="P565" i="6"/>
  <c r="V565" i="6" s="1"/>
  <c r="R565" i="6"/>
  <c r="P566" i="6"/>
  <c r="R566" i="6"/>
  <c r="W566" i="6" s="1"/>
  <c r="P567" i="6"/>
  <c r="V567" i="6" s="1"/>
  <c r="R567" i="6"/>
  <c r="S567" i="6" s="1"/>
  <c r="P568" i="6"/>
  <c r="R568" i="6"/>
  <c r="W568" i="6" s="1"/>
  <c r="P569" i="6"/>
  <c r="V569" i="6" s="1"/>
  <c r="R569" i="6"/>
  <c r="P570" i="6"/>
  <c r="Q570" i="6" s="1"/>
  <c r="R570" i="6"/>
  <c r="W570" i="6" s="1"/>
  <c r="P571" i="6"/>
  <c r="V571" i="6" s="1"/>
  <c r="R571" i="6"/>
  <c r="P572" i="6"/>
  <c r="Q572" i="6" s="1"/>
  <c r="R572" i="6"/>
  <c r="W572" i="6" s="1"/>
  <c r="P573" i="6"/>
  <c r="V573" i="6" s="1"/>
  <c r="R573" i="6"/>
  <c r="P574" i="6"/>
  <c r="Q574" i="6" s="1"/>
  <c r="R574" i="6"/>
  <c r="S574" i="6" s="1"/>
  <c r="P575" i="6"/>
  <c r="V575" i="6" s="1"/>
  <c r="R575" i="6"/>
  <c r="P576" i="6"/>
  <c r="R576" i="6"/>
  <c r="S576" i="6" s="1"/>
  <c r="P577" i="6"/>
  <c r="V577" i="6" s="1"/>
  <c r="R577" i="6"/>
  <c r="P578" i="6"/>
  <c r="Q578" i="6" s="1"/>
  <c r="R578" i="6"/>
  <c r="W578" i="6" s="1"/>
  <c r="P581" i="6"/>
  <c r="V581" i="6" s="1"/>
  <c r="R581" i="6"/>
  <c r="P582" i="6"/>
  <c r="R582" i="6"/>
  <c r="W582" i="6" s="1"/>
  <c r="P583" i="6"/>
  <c r="V583" i="6" s="1"/>
  <c r="R583" i="6"/>
  <c r="P584" i="6"/>
  <c r="R584" i="6"/>
  <c r="W584" i="6" s="1"/>
  <c r="P585" i="6"/>
  <c r="V585" i="6" s="1"/>
  <c r="R585" i="6"/>
  <c r="P586" i="6"/>
  <c r="R586" i="6"/>
  <c r="W586" i="6" s="1"/>
  <c r="P587" i="6"/>
  <c r="V587" i="6" s="1"/>
  <c r="R587" i="6"/>
  <c r="P588" i="6"/>
  <c r="Q588" i="6" s="1"/>
  <c r="R588" i="6"/>
  <c r="P589" i="6"/>
  <c r="V589" i="6" s="1"/>
  <c r="R589" i="6"/>
  <c r="S589" i="6" s="1"/>
  <c r="P590" i="6"/>
  <c r="Q590" i="6" s="1"/>
  <c r="R590" i="6"/>
  <c r="W590" i="6" s="1"/>
  <c r="P563" i="6"/>
  <c r="V563" i="6" s="1"/>
  <c r="R563" i="6"/>
  <c r="P591" i="6"/>
  <c r="Q591" i="6" s="1"/>
  <c r="R591" i="6"/>
  <c r="W591" i="6" s="1"/>
  <c r="P592" i="6"/>
  <c r="V592" i="6" s="1"/>
  <c r="R592" i="6"/>
  <c r="P593" i="6"/>
  <c r="R593" i="6"/>
  <c r="P595" i="6"/>
  <c r="V595" i="6" s="1"/>
  <c r="R595" i="6"/>
  <c r="P596" i="6"/>
  <c r="Q596" i="6" s="1"/>
  <c r="R596" i="6"/>
  <c r="W596" i="6" s="1"/>
  <c r="P597" i="6"/>
  <c r="R597" i="6"/>
  <c r="S597" i="6" s="1"/>
  <c r="P598" i="6"/>
  <c r="Q598" i="6" s="1"/>
  <c r="R598" i="6"/>
  <c r="W598" i="6" s="1"/>
  <c r="P599" i="6"/>
  <c r="V599" i="6" s="1"/>
  <c r="R599" i="6"/>
  <c r="P600" i="6"/>
  <c r="Q600" i="6" s="1"/>
  <c r="R600" i="6"/>
  <c r="W600" i="6" s="1"/>
  <c r="P579" i="6"/>
  <c r="V579" i="6" s="1"/>
  <c r="R579" i="6"/>
  <c r="S579" i="6" s="1"/>
  <c r="P580" i="6"/>
  <c r="Q580" i="6" s="1"/>
  <c r="R580" i="6"/>
  <c r="W580" i="6" s="1"/>
  <c r="P601" i="6"/>
  <c r="R601" i="6"/>
  <c r="P602" i="6"/>
  <c r="Q602" i="6" s="1"/>
  <c r="R602" i="6"/>
  <c r="W602" i="6" s="1"/>
  <c r="P603" i="6"/>
  <c r="V603" i="6" s="1"/>
  <c r="R603" i="6"/>
  <c r="S603" i="6" s="1"/>
  <c r="P604" i="6"/>
  <c r="Q604" i="6" s="1"/>
  <c r="R604" i="6"/>
  <c r="W604" i="6" s="1"/>
  <c r="P605" i="6"/>
  <c r="V605" i="6" s="1"/>
  <c r="R605" i="6"/>
  <c r="P606" i="6"/>
  <c r="Q606" i="6" s="1"/>
  <c r="R606" i="6"/>
  <c r="W606" i="6" s="1"/>
  <c r="P607" i="6"/>
  <c r="R607" i="6"/>
  <c r="S607" i="6" s="1"/>
  <c r="P608" i="6"/>
  <c r="Q608" i="6" s="1"/>
  <c r="R608" i="6"/>
  <c r="W608" i="6" s="1"/>
  <c r="P609" i="6"/>
  <c r="V609" i="6" s="1"/>
  <c r="R609" i="6"/>
  <c r="P610" i="6"/>
  <c r="Q610" i="6" s="1"/>
  <c r="R610" i="6"/>
  <c r="W610" i="6" s="1"/>
  <c r="P594" i="6"/>
  <c r="V594" i="6" s="1"/>
  <c r="R594" i="6"/>
  <c r="S594" i="6" s="1"/>
  <c r="P611" i="6"/>
  <c r="Q611" i="6" s="1"/>
  <c r="R611" i="6"/>
  <c r="W611" i="6" s="1"/>
  <c r="P612" i="6"/>
  <c r="V612" i="6" s="1"/>
  <c r="R612" i="6"/>
  <c r="P613" i="6"/>
  <c r="Q613" i="6" s="1"/>
  <c r="R613" i="6"/>
  <c r="W613" i="6" s="1"/>
  <c r="P614" i="6"/>
  <c r="V614" i="6" s="1"/>
  <c r="R614" i="6"/>
  <c r="S614" i="6" s="1"/>
  <c r="P615" i="6"/>
  <c r="Q615" i="6" s="1"/>
  <c r="R615" i="6"/>
  <c r="W615" i="6" s="1"/>
  <c r="P616" i="6"/>
  <c r="V616" i="6" s="1"/>
  <c r="P618" i="6"/>
  <c r="Q618" i="6" s="1"/>
  <c r="P619" i="6"/>
  <c r="Q619" i="6" s="1"/>
  <c r="S619" i="6"/>
  <c r="P617" i="6"/>
  <c r="Q617" i="6" s="1"/>
  <c r="W617" i="6"/>
  <c r="P620" i="6"/>
  <c r="V620" i="6" s="1"/>
  <c r="P621" i="6"/>
  <c r="Q621" i="6" s="1"/>
  <c r="P622" i="6"/>
  <c r="V622" i="6" s="1"/>
  <c r="P623" i="6"/>
  <c r="Q623" i="6" s="1"/>
  <c r="P624" i="6"/>
  <c r="V624" i="6" s="1"/>
  <c r="P625" i="6"/>
  <c r="Q625" i="6" s="1"/>
  <c r="P627" i="6"/>
  <c r="Q627" i="6" s="1"/>
  <c r="P629" i="6"/>
  <c r="Q629" i="6" s="1"/>
  <c r="W629" i="6"/>
  <c r="P630" i="6"/>
  <c r="V630" i="6" s="1"/>
  <c r="S630" i="6"/>
  <c r="P631" i="6"/>
  <c r="P632" i="6"/>
  <c r="V632" i="6" s="1"/>
  <c r="P633" i="6"/>
  <c r="Q633" i="6" s="1"/>
  <c r="W633" i="6"/>
  <c r="P634" i="6"/>
  <c r="V634" i="6" s="1"/>
  <c r="S634" i="6"/>
  <c r="P635" i="6"/>
  <c r="Q635" i="6" s="1"/>
  <c r="W635" i="6"/>
  <c r="P636" i="6"/>
  <c r="V636" i="6" s="1"/>
  <c r="P637" i="6"/>
  <c r="Q637" i="6" s="1"/>
  <c r="W637" i="6"/>
  <c r="P638" i="6"/>
  <c r="V638" i="6" s="1"/>
  <c r="S638" i="6"/>
  <c r="P639" i="6"/>
  <c r="Q639" i="6" s="1"/>
  <c r="W639" i="6"/>
  <c r="P640" i="6"/>
  <c r="V640" i="6" s="1"/>
  <c r="P641" i="6"/>
  <c r="Q641" i="6" s="1"/>
  <c r="W641" i="6"/>
  <c r="P642" i="6"/>
  <c r="V642" i="6" s="1"/>
  <c r="S642" i="6"/>
  <c r="P643" i="6"/>
  <c r="Q643" i="6" s="1"/>
  <c r="P644" i="6"/>
  <c r="V644" i="6" s="1"/>
  <c r="P645" i="6"/>
  <c r="Q645" i="6" s="1"/>
  <c r="W645" i="6"/>
  <c r="P646" i="6"/>
  <c r="V646" i="6" s="1"/>
  <c r="S646" i="6"/>
  <c r="P647" i="6"/>
  <c r="Q647" i="6" s="1"/>
  <c r="W647" i="6"/>
  <c r="P648" i="6"/>
  <c r="V648" i="6" s="1"/>
  <c r="P649" i="6"/>
  <c r="Q649" i="6" s="1"/>
  <c r="W649" i="6"/>
  <c r="P650" i="6"/>
  <c r="V650" i="6" s="1"/>
  <c r="S650" i="6"/>
  <c r="P651" i="6"/>
  <c r="Q651" i="6" s="1"/>
  <c r="W651" i="6"/>
  <c r="P652" i="6"/>
  <c r="V652" i="6" s="1"/>
  <c r="P653" i="6"/>
  <c r="Q653" i="6" s="1"/>
  <c r="P655" i="6"/>
  <c r="V655" i="6" s="1"/>
  <c r="S655" i="6"/>
  <c r="P656" i="6"/>
  <c r="Q656" i="6" s="1"/>
  <c r="W656" i="6"/>
  <c r="P657" i="6"/>
  <c r="V657" i="6" s="1"/>
  <c r="P658" i="6"/>
  <c r="Q658" i="6" s="1"/>
  <c r="W658" i="6"/>
  <c r="P660" i="6"/>
  <c r="V660" i="6" s="1"/>
  <c r="S660" i="6"/>
  <c r="P661" i="6"/>
  <c r="Q661" i="6" s="1"/>
  <c r="P662" i="6"/>
  <c r="V662" i="6" s="1"/>
  <c r="P654" i="6"/>
  <c r="Q654" i="6" s="1"/>
  <c r="W654" i="6"/>
  <c r="P663" i="6"/>
  <c r="V663" i="6" s="1"/>
  <c r="S663" i="6"/>
  <c r="P664" i="6"/>
  <c r="Q664" i="6" s="1"/>
  <c r="W664" i="6"/>
  <c r="P665" i="6"/>
  <c r="V665" i="6" s="1"/>
  <c r="P666" i="6"/>
  <c r="Q666" i="6" s="1"/>
  <c r="W666" i="6"/>
  <c r="P659" i="6"/>
  <c r="V659" i="6" s="1"/>
  <c r="R670" i="6"/>
  <c r="W670" i="6" s="1"/>
  <c r="R671" i="6"/>
  <c r="W671" i="6" s="1"/>
  <c r="R672" i="6"/>
  <c r="W672" i="6" s="1"/>
  <c r="R673" i="6"/>
  <c r="R674" i="6"/>
  <c r="R675" i="6"/>
  <c r="W675" i="6" s="1"/>
  <c r="P676" i="6"/>
  <c r="Q676" i="6" s="1"/>
  <c r="R676" i="6"/>
  <c r="W676" i="6" s="1"/>
  <c r="P677" i="6"/>
  <c r="V677" i="6" s="1"/>
  <c r="R677" i="6"/>
  <c r="S677" i="6" s="1"/>
  <c r="P678" i="6"/>
  <c r="Q678" i="6" s="1"/>
  <c r="R678" i="6"/>
  <c r="P679" i="6"/>
  <c r="V679" i="6" s="1"/>
  <c r="R679" i="6"/>
  <c r="P680" i="6"/>
  <c r="Q680" i="6" s="1"/>
  <c r="R680" i="6"/>
  <c r="W680" i="6" s="1"/>
  <c r="P681" i="6"/>
  <c r="V681" i="6" s="1"/>
  <c r="R681" i="6"/>
  <c r="S681" i="6" s="1"/>
  <c r="P682" i="6"/>
  <c r="Q682" i="6" s="1"/>
  <c r="R682" i="6"/>
  <c r="W682" i="6" s="1"/>
  <c r="P683" i="6"/>
  <c r="V683" i="6" s="1"/>
  <c r="R683" i="6"/>
  <c r="P685" i="6"/>
  <c r="Q685" i="6" s="1"/>
  <c r="R685" i="6"/>
  <c r="W685" i="6" s="1"/>
  <c r="P686" i="6"/>
  <c r="V686" i="6" s="1"/>
  <c r="R686" i="6"/>
  <c r="S686" i="6" s="1"/>
  <c r="P687" i="6"/>
  <c r="Q687" i="6" s="1"/>
  <c r="R687" i="6"/>
  <c r="W687" i="6" s="1"/>
  <c r="P688" i="6"/>
  <c r="V688" i="6" s="1"/>
  <c r="R688" i="6"/>
  <c r="P689" i="6"/>
  <c r="Q689" i="6" s="1"/>
  <c r="R689" i="6"/>
  <c r="W689" i="6" s="1"/>
  <c r="P690" i="6"/>
  <c r="V690" i="6" s="1"/>
  <c r="R690" i="6"/>
  <c r="S690" i="6" s="1"/>
  <c r="P691" i="6"/>
  <c r="Q691" i="6" s="1"/>
  <c r="R691" i="6"/>
  <c r="W691" i="6" s="1"/>
  <c r="P692" i="6"/>
  <c r="V692" i="6" s="1"/>
  <c r="R692" i="6"/>
  <c r="P684" i="6"/>
  <c r="Q684" i="6" s="1"/>
  <c r="R684" i="6"/>
  <c r="W684" i="6" s="1"/>
  <c r="P94" i="6"/>
  <c r="V94" i="6" s="1"/>
  <c r="R94" i="6"/>
  <c r="S94" i="6" s="1"/>
  <c r="P95" i="6"/>
  <c r="Q95" i="6" s="1"/>
  <c r="R95" i="6"/>
  <c r="W95" i="6" s="1"/>
  <c r="P96" i="6"/>
  <c r="V96" i="6" s="1"/>
  <c r="R96" i="6"/>
  <c r="P99" i="6"/>
  <c r="Q99" i="6" s="1"/>
  <c r="R99" i="6"/>
  <c r="W99" i="6" s="1"/>
  <c r="W281" i="6" l="1"/>
  <c r="W273" i="6"/>
  <c r="W280" i="6"/>
  <c r="W272" i="6"/>
  <c r="W278" i="6"/>
  <c r="W285" i="6"/>
  <c r="W277" i="6"/>
  <c r="AY204" i="6"/>
  <c r="S204" i="6"/>
  <c r="BA204" i="6" s="1"/>
  <c r="BA367" i="6"/>
  <c r="P628" i="6"/>
  <c r="V628" i="6" s="1"/>
  <c r="AZ261" i="6"/>
  <c r="AZ251" i="6"/>
  <c r="AF626" i="6"/>
  <c r="AG626" i="6" s="1"/>
  <c r="AZ45" i="6"/>
  <c r="W326" i="6"/>
  <c r="V104" i="6"/>
  <c r="P626" i="6"/>
  <c r="V626" i="6" s="1"/>
  <c r="V516" i="6"/>
  <c r="BA294" i="6"/>
  <c r="AZ338" i="6"/>
  <c r="S229" i="6"/>
  <c r="BA229" i="6" s="1"/>
  <c r="Q217" i="6"/>
  <c r="AZ217" i="6" s="1"/>
  <c r="V347" i="6"/>
  <c r="Q594" i="6"/>
  <c r="AZ594" i="6" s="1"/>
  <c r="AZ507" i="6"/>
  <c r="S485" i="6"/>
  <c r="BA485" i="6" s="1"/>
  <c r="Q483" i="6"/>
  <c r="Q234" i="6"/>
  <c r="AZ234" i="6" s="1"/>
  <c r="S340" i="6"/>
  <c r="BA340" i="6" s="1"/>
  <c r="Q545" i="6"/>
  <c r="AZ545" i="6" s="1"/>
  <c r="AF628" i="6"/>
  <c r="AG628" i="6" s="1"/>
  <c r="AZ666" i="6"/>
  <c r="Q630" i="6"/>
  <c r="AZ630" i="6" s="1"/>
  <c r="BA260" i="6"/>
  <c r="W550" i="6"/>
  <c r="BA509" i="6"/>
  <c r="BA493" i="6"/>
  <c r="S187" i="6"/>
  <c r="BA187" i="6" s="1"/>
  <c r="Q560" i="6"/>
  <c r="AZ560" i="6" s="1"/>
  <c r="S533" i="6"/>
  <c r="BA533" i="6" s="1"/>
  <c r="W655" i="6"/>
  <c r="Q655" i="6"/>
  <c r="AZ655" i="6" s="1"/>
  <c r="S547" i="6"/>
  <c r="AZ427" i="6"/>
  <c r="W190" i="6"/>
  <c r="BA501" i="6"/>
  <c r="W205" i="6"/>
  <c r="AF627" i="6"/>
  <c r="AG627" i="6" s="1"/>
  <c r="AZ627" i="6" s="1"/>
  <c r="Q681" i="6"/>
  <c r="AZ681" i="6" s="1"/>
  <c r="S639" i="6"/>
  <c r="BA639" i="6" s="1"/>
  <c r="Q632" i="6"/>
  <c r="AZ396" i="6"/>
  <c r="S380" i="6"/>
  <c r="BA380" i="6" s="1"/>
  <c r="Q587" i="6"/>
  <c r="AZ587" i="6" s="1"/>
  <c r="Q459" i="6"/>
  <c r="AZ459" i="6" s="1"/>
  <c r="AZ572" i="6"/>
  <c r="AZ512" i="6"/>
  <c r="AZ508" i="6"/>
  <c r="AZ504" i="6"/>
  <c r="AZ496" i="6"/>
  <c r="S542" i="6"/>
  <c r="BA542" i="6" s="1"/>
  <c r="S523" i="6"/>
  <c r="BA523" i="6" s="1"/>
  <c r="Q520" i="6"/>
  <c r="AZ520" i="6" s="1"/>
  <c r="BA452" i="6"/>
  <c r="W646" i="6"/>
  <c r="V191" i="6"/>
  <c r="BA439" i="6"/>
  <c r="S344" i="6"/>
  <c r="BA344" i="6" s="1"/>
  <c r="Q219" i="6"/>
  <c r="AZ219" i="6" s="1"/>
  <c r="S608" i="6"/>
  <c r="BA608" i="6" s="1"/>
  <c r="Q595" i="6"/>
  <c r="AZ595" i="6" s="1"/>
  <c r="AZ265" i="6"/>
  <c r="S166" i="6"/>
  <c r="BA166" i="6" s="1"/>
  <c r="AZ55" i="6"/>
  <c r="V572" i="6"/>
  <c r="V348" i="6"/>
  <c r="Q642" i="6"/>
  <c r="AZ642" i="6" s="1"/>
  <c r="S330" i="6"/>
  <c r="BA330" i="6" s="1"/>
  <c r="Q319" i="6"/>
  <c r="AZ319" i="6" s="1"/>
  <c r="S315" i="6"/>
  <c r="BA315" i="6" s="1"/>
  <c r="AZ308" i="6"/>
  <c r="BA242" i="6"/>
  <c r="S223" i="6"/>
  <c r="BA223" i="6" s="1"/>
  <c r="Q209" i="6"/>
  <c r="AZ209" i="6" s="1"/>
  <c r="AZ175" i="6"/>
  <c r="AZ75" i="6"/>
  <c r="S19" i="6"/>
  <c r="BA19" i="6" s="1"/>
  <c r="W574" i="6"/>
  <c r="W384" i="6"/>
  <c r="W173" i="6"/>
  <c r="V70" i="6"/>
  <c r="S672" i="6"/>
  <c r="BA672" i="6" s="1"/>
  <c r="Q528" i="6"/>
  <c r="AZ528" i="6" s="1"/>
  <c r="S557" i="6"/>
  <c r="BA557" i="6" s="1"/>
  <c r="AZ532" i="6"/>
  <c r="BA326" i="6"/>
  <c r="AZ138" i="6"/>
  <c r="S77" i="6"/>
  <c r="AZ43" i="6"/>
  <c r="AZ562" i="6"/>
  <c r="BA491" i="6"/>
  <c r="AZ415" i="6"/>
  <c r="AZ335" i="6"/>
  <c r="BA277" i="6"/>
  <c r="BA252" i="6"/>
  <c r="BA78" i="6"/>
  <c r="S68" i="6"/>
  <c r="BA68" i="6" s="1"/>
  <c r="S531" i="6"/>
  <c r="BA531" i="6" s="1"/>
  <c r="S382" i="6"/>
  <c r="BA382" i="6" s="1"/>
  <c r="S177" i="6"/>
  <c r="BA177" i="6" s="1"/>
  <c r="S645" i="6"/>
  <c r="BA645" i="6" s="1"/>
  <c r="Q373" i="6"/>
  <c r="AZ373" i="6" s="1"/>
  <c r="BA255" i="6"/>
  <c r="V463" i="6"/>
  <c r="BA507" i="6"/>
  <c r="AZ488" i="6"/>
  <c r="AZ465" i="6"/>
  <c r="BA441" i="6"/>
  <c r="AZ381" i="6"/>
  <c r="Q288" i="6"/>
  <c r="AZ288" i="6" s="1"/>
  <c r="AZ233" i="6"/>
  <c r="S160" i="6"/>
  <c r="BA160" i="6" s="1"/>
  <c r="AZ157" i="6"/>
  <c r="S75" i="6"/>
  <c r="BA75" i="6" s="1"/>
  <c r="V284" i="6"/>
  <c r="AM100" i="6"/>
  <c r="BA486" i="6"/>
  <c r="S615" i="6"/>
  <c r="BA615" i="6" s="1"/>
  <c r="S376" i="6"/>
  <c r="BA376" i="6" s="1"/>
  <c r="Q360" i="6"/>
  <c r="AZ360" i="6" s="1"/>
  <c r="Q172" i="6"/>
  <c r="AZ172" i="6" s="1"/>
  <c r="AZ267" i="6"/>
  <c r="AZ25" i="6"/>
  <c r="W320" i="6"/>
  <c r="V93" i="6"/>
  <c r="V51" i="6"/>
  <c r="S689" i="6"/>
  <c r="BA689" i="6" s="1"/>
  <c r="S654" i="6"/>
  <c r="BA654" i="6" s="1"/>
  <c r="Q660" i="6"/>
  <c r="AZ660" i="6" s="1"/>
  <c r="W643" i="6"/>
  <c r="Q640" i="6"/>
  <c r="AZ640" i="6" s="1"/>
  <c r="AZ637" i="6"/>
  <c r="Q609" i="6"/>
  <c r="AZ609" i="6" s="1"/>
  <c r="AZ606" i="6"/>
  <c r="S602" i="6"/>
  <c r="BA602" i="6" s="1"/>
  <c r="Q579" i="6"/>
  <c r="AZ579" i="6" s="1"/>
  <c r="S572" i="6"/>
  <c r="BA572" i="6" s="1"/>
  <c r="Q569" i="6"/>
  <c r="AZ569" i="6" s="1"/>
  <c r="S517" i="6"/>
  <c r="BA517" i="6" s="1"/>
  <c r="AZ491" i="6"/>
  <c r="BA487" i="6"/>
  <c r="S479" i="6"/>
  <c r="BA479" i="6" s="1"/>
  <c r="S437" i="6"/>
  <c r="BA437" i="6" s="1"/>
  <c r="S373" i="6"/>
  <c r="BA373" i="6" s="1"/>
  <c r="Q376" i="6"/>
  <c r="AZ376" i="6" s="1"/>
  <c r="S370" i="6"/>
  <c r="BA370" i="6" s="1"/>
  <c r="BA348" i="6"/>
  <c r="AZ316" i="6"/>
  <c r="Q279" i="6"/>
  <c r="AZ279" i="6" s="1"/>
  <c r="S219" i="6"/>
  <c r="BA219" i="6" s="1"/>
  <c r="S213" i="6"/>
  <c r="BA213" i="6" s="1"/>
  <c r="S196" i="6"/>
  <c r="BA196" i="6" s="1"/>
  <c r="Q185" i="6"/>
  <c r="AZ185" i="6" s="1"/>
  <c r="S181" i="6"/>
  <c r="BA181" i="6" s="1"/>
  <c r="S144" i="6"/>
  <c r="BA144" i="6" s="1"/>
  <c r="W554" i="6"/>
  <c r="V479" i="6"/>
  <c r="V324" i="6"/>
  <c r="V216" i="6"/>
  <c r="V67" i="6"/>
  <c r="AI96" i="6"/>
  <c r="AG115" i="6"/>
  <c r="AZ115" i="6" s="1"/>
  <c r="AM107" i="6"/>
  <c r="AZ591" i="6"/>
  <c r="Q552" i="6"/>
  <c r="AZ552" i="6" s="1"/>
  <c r="AZ239" i="6"/>
  <c r="BA165" i="6"/>
  <c r="S66" i="6"/>
  <c r="AL109" i="6"/>
  <c r="S99" i="6"/>
  <c r="S687" i="6"/>
  <c r="BA687" i="6" s="1"/>
  <c r="S582" i="6"/>
  <c r="BA582" i="6" s="1"/>
  <c r="S468" i="6"/>
  <c r="BA468" i="6" s="1"/>
  <c r="S100" i="6"/>
  <c r="BA100" i="6" s="1"/>
  <c r="S59" i="6"/>
  <c r="BA59" i="6" s="1"/>
  <c r="W663" i="6"/>
  <c r="W486" i="6"/>
  <c r="AI99" i="6"/>
  <c r="AM118" i="6"/>
  <c r="Q616" i="6"/>
  <c r="AZ616" i="6" s="1"/>
  <c r="S610" i="6"/>
  <c r="BA610" i="6" s="1"/>
  <c r="Q592" i="6"/>
  <c r="AZ592" i="6" s="1"/>
  <c r="S586" i="6"/>
  <c r="BA586" i="6" s="1"/>
  <c r="S549" i="6"/>
  <c r="BA549" i="6" s="1"/>
  <c r="S539" i="6"/>
  <c r="BA539" i="6" s="1"/>
  <c r="Q536" i="6"/>
  <c r="AZ536" i="6" s="1"/>
  <c r="Q482" i="6"/>
  <c r="AZ482" i="6" s="1"/>
  <c r="AZ472" i="6"/>
  <c r="Q439" i="6"/>
  <c r="AZ439" i="6" s="1"/>
  <c r="BA406" i="6"/>
  <c r="S324" i="6"/>
  <c r="BA324" i="6" s="1"/>
  <c r="Q295" i="6"/>
  <c r="AZ295" i="6" s="1"/>
  <c r="AZ289" i="6"/>
  <c r="BA273" i="6"/>
  <c r="AZ236" i="6"/>
  <c r="BA221" i="6"/>
  <c r="Q215" i="6"/>
  <c r="AZ215" i="6" s="1"/>
  <c r="Q193" i="6"/>
  <c r="AZ193" i="6" s="1"/>
  <c r="S172" i="6"/>
  <c r="BA172" i="6" s="1"/>
  <c r="S162" i="6"/>
  <c r="BA162" i="6" s="1"/>
  <c r="S159" i="6"/>
  <c r="BA159" i="6" s="1"/>
  <c r="S147" i="6"/>
  <c r="BA147" i="6" s="1"/>
  <c r="S76" i="6"/>
  <c r="BA76" i="6" s="1"/>
  <c r="S73" i="6"/>
  <c r="BA73" i="6" s="1"/>
  <c r="S55" i="6"/>
  <c r="BA55" i="6" s="1"/>
  <c r="S37" i="6"/>
  <c r="BA37" i="6" s="1"/>
  <c r="S22" i="6"/>
  <c r="BA22" i="6" s="1"/>
  <c r="V608" i="6"/>
  <c r="W534" i="6"/>
  <c r="W441" i="6"/>
  <c r="V365" i="6"/>
  <c r="V298" i="6"/>
  <c r="W195" i="6"/>
  <c r="W150" i="6"/>
  <c r="V23" i="6"/>
  <c r="BA646" i="6"/>
  <c r="AM108" i="6"/>
  <c r="S356" i="6"/>
  <c r="BA356" i="6" s="1"/>
  <c r="S168" i="6"/>
  <c r="BA168" i="6" s="1"/>
  <c r="W217" i="6"/>
  <c r="Q599" i="6"/>
  <c r="AZ599" i="6" s="1"/>
  <c r="S525" i="6"/>
  <c r="BA525" i="6" s="1"/>
  <c r="S515" i="6"/>
  <c r="BA515" i="6" s="1"/>
  <c r="BA505" i="6"/>
  <c r="AZ291" i="6"/>
  <c r="S51" i="6"/>
  <c r="BA51" i="6" s="1"/>
  <c r="W576" i="6"/>
  <c r="V150" i="6"/>
  <c r="AI94" i="6"/>
  <c r="BA94" i="6" s="1"/>
  <c r="S691" i="6"/>
  <c r="BA691" i="6" s="1"/>
  <c r="AZ685" i="6"/>
  <c r="S680" i="6"/>
  <c r="BA680" i="6" s="1"/>
  <c r="S664" i="6"/>
  <c r="BA664" i="6" s="1"/>
  <c r="AZ600" i="6"/>
  <c r="S596" i="6"/>
  <c r="BA596" i="6" s="1"/>
  <c r="S564" i="6"/>
  <c r="BA564" i="6" s="1"/>
  <c r="BA526" i="6"/>
  <c r="BA469" i="6"/>
  <c r="S461" i="6"/>
  <c r="BA461" i="6" s="1"/>
  <c r="BA403" i="6"/>
  <c r="S350" i="6"/>
  <c r="BA350" i="6" s="1"/>
  <c r="S321" i="6"/>
  <c r="BA321" i="6" s="1"/>
  <c r="Q311" i="6"/>
  <c r="AZ311" i="6" s="1"/>
  <c r="Q281" i="6"/>
  <c r="AZ281" i="6" s="1"/>
  <c r="AZ253" i="6"/>
  <c r="Q187" i="6"/>
  <c r="AZ187" i="6" s="1"/>
  <c r="S32" i="6"/>
  <c r="BA32" i="6" s="1"/>
  <c r="V615" i="6"/>
  <c r="V447" i="6"/>
  <c r="W366" i="6"/>
  <c r="V301" i="6"/>
  <c r="W157" i="6"/>
  <c r="W31" i="6"/>
  <c r="AZ672" i="6"/>
  <c r="AZ414" i="6"/>
  <c r="Q603" i="6"/>
  <c r="AZ603" i="6" s="1"/>
  <c r="S566" i="6"/>
  <c r="BA566" i="6" s="1"/>
  <c r="S555" i="6"/>
  <c r="BA555" i="6" s="1"/>
  <c r="S451" i="6"/>
  <c r="BA451" i="6" s="1"/>
  <c r="Q384" i="6"/>
  <c r="AZ384" i="6" s="1"/>
  <c r="W475" i="6"/>
  <c r="W117" i="6"/>
  <c r="Q94" i="6"/>
  <c r="Q589" i="6"/>
  <c r="AZ589" i="6" s="1"/>
  <c r="Q577" i="6"/>
  <c r="AZ577" i="6" s="1"/>
  <c r="BA471" i="6"/>
  <c r="BA457" i="6"/>
  <c r="V532" i="6"/>
  <c r="V232" i="6"/>
  <c r="AZ689" i="6"/>
  <c r="AZ537" i="6"/>
  <c r="AZ500" i="6"/>
  <c r="AZ470" i="6"/>
  <c r="AZ433" i="6"/>
  <c r="BA430" i="6"/>
  <c r="BA426" i="6"/>
  <c r="AZ423" i="6"/>
  <c r="BA270" i="6"/>
  <c r="BA222" i="6"/>
  <c r="S84" i="6"/>
  <c r="BA84" i="6" s="1"/>
  <c r="S7" i="6"/>
  <c r="BA7" i="6" s="1"/>
  <c r="V548" i="6"/>
  <c r="V371" i="6"/>
  <c r="V306" i="6"/>
  <c r="W204" i="6"/>
  <c r="V170" i="6"/>
  <c r="W50" i="6"/>
  <c r="AG101" i="6"/>
  <c r="AZ101" i="6" s="1"/>
  <c r="S592" i="6"/>
  <c r="BA592" i="6" s="1"/>
  <c r="W592" i="6"/>
  <c r="V287" i="6"/>
  <c r="Q287" i="6"/>
  <c r="AZ287" i="6" s="1"/>
  <c r="W30" i="6"/>
  <c r="S30" i="6"/>
  <c r="BA30" i="6" s="1"/>
  <c r="V607" i="6"/>
  <c r="Q607" i="6"/>
  <c r="AZ607" i="6" s="1"/>
  <c r="Q555" i="6"/>
  <c r="AZ555" i="6" s="1"/>
  <c r="V555" i="6"/>
  <c r="Q539" i="6"/>
  <c r="AZ539" i="6" s="1"/>
  <c r="V539" i="6"/>
  <c r="W293" i="6"/>
  <c r="S293" i="6"/>
  <c r="BA293" i="6" s="1"/>
  <c r="Q113" i="6"/>
  <c r="AZ113" i="6" s="1"/>
  <c r="V113" i="6"/>
  <c r="Q670" i="6"/>
  <c r="AZ670" i="6" s="1"/>
  <c r="V670" i="6"/>
  <c r="S98" i="6"/>
  <c r="W98" i="6"/>
  <c r="W62" i="6"/>
  <c r="S62" i="6"/>
  <c r="BA62" i="6" s="1"/>
  <c r="Q671" i="6"/>
  <c r="AZ671" i="6" s="1"/>
  <c r="V671" i="6"/>
  <c r="S104" i="6"/>
  <c r="AZ541" i="6"/>
  <c r="BA288" i="6"/>
  <c r="S580" i="6"/>
  <c r="BA580" i="6" s="1"/>
  <c r="Q575" i="6"/>
  <c r="AZ575" i="6" s="1"/>
  <c r="Q558" i="6"/>
  <c r="AZ558" i="6" s="1"/>
  <c r="Q543" i="6"/>
  <c r="AZ543" i="6" s="1"/>
  <c r="Q526" i="6"/>
  <c r="AZ526" i="6" s="1"/>
  <c r="BA513" i="6"/>
  <c r="BA497" i="6"/>
  <c r="BA475" i="6"/>
  <c r="Q476" i="6"/>
  <c r="AZ476" i="6" s="1"/>
  <c r="S443" i="6"/>
  <c r="BA443" i="6" s="1"/>
  <c r="BA384" i="6"/>
  <c r="Q372" i="6"/>
  <c r="AZ372" i="6" s="1"/>
  <c r="S354" i="6"/>
  <c r="BA354" i="6" s="1"/>
  <c r="AZ145" i="6"/>
  <c r="W227" i="6"/>
  <c r="AZ598" i="6"/>
  <c r="S206" i="6"/>
  <c r="BA206" i="6" s="1"/>
  <c r="W206" i="6"/>
  <c r="W678" i="6"/>
  <c r="S678" i="6"/>
  <c r="BA678" i="6" s="1"/>
  <c r="Q631" i="6"/>
  <c r="AZ631" i="6" s="1"/>
  <c r="V631" i="6"/>
  <c r="Q593" i="6"/>
  <c r="AZ593" i="6" s="1"/>
  <c r="V593" i="6"/>
  <c r="W203" i="6"/>
  <c r="S203" i="6"/>
  <c r="BA203" i="6" s="1"/>
  <c r="W110" i="6"/>
  <c r="S110" i="6"/>
  <c r="W56" i="6"/>
  <c r="S56" i="6"/>
  <c r="BA56" i="6" s="1"/>
  <c r="W674" i="6"/>
  <c r="S674" i="6"/>
  <c r="BA674" i="6" s="1"/>
  <c r="W631" i="6"/>
  <c r="S631" i="6"/>
  <c r="BA631" i="6" s="1"/>
  <c r="Q363" i="6"/>
  <c r="AZ363" i="6" s="1"/>
  <c r="V363" i="6"/>
  <c r="Q220" i="6"/>
  <c r="AZ220" i="6" s="1"/>
  <c r="V220" i="6"/>
  <c r="W17" i="6"/>
  <c r="S17" i="6"/>
  <c r="BA17" i="6" s="1"/>
  <c r="W588" i="6"/>
  <c r="S588" i="6"/>
  <c r="BA588" i="6" s="1"/>
  <c r="S585" i="6"/>
  <c r="BA585" i="6" s="1"/>
  <c r="W585" i="6"/>
  <c r="Q454" i="6"/>
  <c r="AZ454" i="6" s="1"/>
  <c r="V454" i="6"/>
  <c r="S211" i="6"/>
  <c r="BA211" i="6" s="1"/>
  <c r="W211" i="6"/>
  <c r="W183" i="6"/>
  <c r="S183" i="6"/>
  <c r="BA183" i="6" s="1"/>
  <c r="S180" i="6"/>
  <c r="BA180" i="6" s="1"/>
  <c r="W180" i="6"/>
  <c r="Q14" i="6"/>
  <c r="AZ14" i="6" s="1"/>
  <c r="V14" i="6"/>
  <c r="AM119" i="6"/>
  <c r="AI119" i="6"/>
  <c r="S637" i="6"/>
  <c r="BA637" i="6" s="1"/>
  <c r="AZ553" i="6"/>
  <c r="V441" i="6"/>
  <c r="S656" i="6"/>
  <c r="BA656" i="6" s="1"/>
  <c r="Q614" i="6"/>
  <c r="AZ614" i="6" s="1"/>
  <c r="Q567" i="6"/>
  <c r="AZ567" i="6" s="1"/>
  <c r="Q550" i="6"/>
  <c r="AZ550" i="6" s="1"/>
  <c r="Q534" i="6"/>
  <c r="AZ534" i="6" s="1"/>
  <c r="Q518" i="6"/>
  <c r="AZ518" i="6" s="1"/>
  <c r="BA489" i="6"/>
  <c r="Q481" i="6"/>
  <c r="AZ481" i="6" s="1"/>
  <c r="S459" i="6"/>
  <c r="BA459" i="6" s="1"/>
  <c r="Q307" i="6"/>
  <c r="AZ307" i="6" s="1"/>
  <c r="AZ241" i="6"/>
  <c r="S39" i="6"/>
  <c r="BA39" i="6" s="1"/>
  <c r="V114" i="6"/>
  <c r="BA440" i="6"/>
  <c r="V601" i="6"/>
  <c r="Q601" i="6"/>
  <c r="AZ601" i="6" s="1"/>
  <c r="S351" i="6"/>
  <c r="BA351" i="6" s="1"/>
  <c r="W351" i="6"/>
  <c r="S200" i="6"/>
  <c r="BA200" i="6" s="1"/>
  <c r="W200" i="6"/>
  <c r="Q106" i="6"/>
  <c r="V106" i="6"/>
  <c r="S87" i="6"/>
  <c r="BA87" i="6" s="1"/>
  <c r="W87" i="6"/>
  <c r="S673" i="6"/>
  <c r="BA673" i="6" s="1"/>
  <c r="W673" i="6"/>
  <c r="V597" i="6"/>
  <c r="Q597" i="6"/>
  <c r="AZ597" i="6" s="1"/>
  <c r="Q197" i="6"/>
  <c r="AZ197" i="6" s="1"/>
  <c r="V197" i="6"/>
  <c r="V342" i="6"/>
  <c r="Q342" i="6"/>
  <c r="AZ342" i="6" s="1"/>
  <c r="S334" i="6"/>
  <c r="BA334" i="6" s="1"/>
  <c r="W334" i="6"/>
  <c r="W661" i="6"/>
  <c r="S661" i="6"/>
  <c r="BA661" i="6" s="1"/>
  <c r="W618" i="6"/>
  <c r="S618" i="6"/>
  <c r="BA618" i="6" s="1"/>
  <c r="W232" i="6"/>
  <c r="S232" i="6"/>
  <c r="BA232" i="6" s="1"/>
  <c r="W85" i="6"/>
  <c r="S85" i="6"/>
  <c r="BA85" i="6" s="1"/>
  <c r="Q78" i="6"/>
  <c r="AZ78" i="6" s="1"/>
  <c r="V78" i="6"/>
  <c r="Q66" i="6"/>
  <c r="AZ66" i="6" s="1"/>
  <c r="V66" i="6"/>
  <c r="Q11" i="6"/>
  <c r="AZ11" i="6" s="1"/>
  <c r="V11" i="6"/>
  <c r="S309" i="6"/>
  <c r="BA309" i="6" s="1"/>
  <c r="S91" i="6"/>
  <c r="BA91" i="6" s="1"/>
  <c r="V101" i="6"/>
  <c r="AG95" i="6"/>
  <c r="AZ95" i="6" s="1"/>
  <c r="Q563" i="6"/>
  <c r="AZ563" i="6" s="1"/>
  <c r="Q183" i="6"/>
  <c r="AZ183" i="6" s="1"/>
  <c r="S49" i="6"/>
  <c r="BA49" i="6" s="1"/>
  <c r="S13" i="6"/>
  <c r="BA13" i="6" s="1"/>
  <c r="AZ483" i="6"/>
  <c r="BA228" i="6"/>
  <c r="BA173" i="6"/>
  <c r="BA170" i="6"/>
  <c r="V43" i="6"/>
  <c r="AZ501" i="6"/>
  <c r="W372" i="6"/>
  <c r="S372" i="6"/>
  <c r="BA372" i="6" s="1"/>
  <c r="W593" i="6"/>
  <c r="S593" i="6"/>
  <c r="BA593" i="6" s="1"/>
  <c r="W653" i="6"/>
  <c r="S653" i="6"/>
  <c r="BA653" i="6" s="1"/>
  <c r="Q452" i="6"/>
  <c r="AZ452" i="6" s="1"/>
  <c r="V452" i="6"/>
  <c r="Q357" i="6"/>
  <c r="AZ357" i="6" s="1"/>
  <c r="V357" i="6"/>
  <c r="W328" i="6"/>
  <c r="S328" i="6"/>
  <c r="BA328" i="6" s="1"/>
  <c r="S296" i="6"/>
  <c r="BA296" i="6" s="1"/>
  <c r="W296" i="6"/>
  <c r="Q293" i="6"/>
  <c r="AZ293" i="6" s="1"/>
  <c r="V293" i="6"/>
  <c r="W215" i="6"/>
  <c r="S215" i="6"/>
  <c r="BA215" i="6" s="1"/>
  <c r="S72" i="6"/>
  <c r="BA72" i="6" s="1"/>
  <c r="W72" i="6"/>
  <c r="Q28" i="6"/>
  <c r="AZ28" i="6" s="1"/>
  <c r="V28" i="6"/>
  <c r="S24" i="6"/>
  <c r="BA24" i="6" s="1"/>
  <c r="W24" i="6"/>
  <c r="W11" i="6"/>
  <c r="S11" i="6"/>
  <c r="BA11" i="6" s="1"/>
  <c r="Q634" i="6"/>
  <c r="AZ634" i="6" s="1"/>
  <c r="Q366" i="6"/>
  <c r="AZ366" i="6" s="1"/>
  <c r="S185" i="6"/>
  <c r="BA185" i="6" s="1"/>
  <c r="S45" i="6"/>
  <c r="BA45" i="6" s="1"/>
  <c r="Q585" i="6"/>
  <c r="AZ585" i="6" s="1"/>
  <c r="AZ499" i="6"/>
  <c r="Q435" i="6"/>
  <c r="AZ435" i="6" s="1"/>
  <c r="Q313" i="6"/>
  <c r="AZ313" i="6" s="1"/>
  <c r="S234" i="6"/>
  <c r="BA234" i="6" s="1"/>
  <c r="S42" i="6"/>
  <c r="BA42" i="6" s="1"/>
  <c r="AZ548" i="6"/>
  <c r="BA394" i="6"/>
  <c r="BA212" i="6"/>
  <c r="BA157" i="6"/>
  <c r="BA120" i="6"/>
  <c r="W120" i="6"/>
  <c r="AZ393" i="6"/>
  <c r="BA650" i="6"/>
  <c r="AZ79" i="6"/>
  <c r="V130" i="6"/>
  <c r="AL110" i="6"/>
  <c r="S95" i="6"/>
  <c r="Q686" i="6"/>
  <c r="AZ686" i="6" s="1"/>
  <c r="AZ658" i="6"/>
  <c r="S647" i="6"/>
  <c r="BA647" i="6" s="1"/>
  <c r="Q638" i="6"/>
  <c r="AZ638" i="6" s="1"/>
  <c r="AZ635" i="6"/>
  <c r="Q612" i="6"/>
  <c r="AZ612" i="6" s="1"/>
  <c r="Q583" i="6"/>
  <c r="AZ583" i="6" s="1"/>
  <c r="S578" i="6"/>
  <c r="BA578" i="6" s="1"/>
  <c r="Q573" i="6"/>
  <c r="AZ573" i="6" s="1"/>
  <c r="S570" i="6"/>
  <c r="BA570" i="6" s="1"/>
  <c r="Q565" i="6"/>
  <c r="AZ565" i="6" s="1"/>
  <c r="S561" i="6"/>
  <c r="BA561" i="6" s="1"/>
  <c r="Q556" i="6"/>
  <c r="AZ556" i="6" s="1"/>
  <c r="S553" i="6"/>
  <c r="BA553" i="6" s="1"/>
  <c r="S541" i="6"/>
  <c r="BA541" i="6" s="1"/>
  <c r="Q540" i="6"/>
  <c r="AZ540" i="6" s="1"/>
  <c r="S537" i="6"/>
  <c r="BA537" i="6" s="1"/>
  <c r="S529" i="6"/>
  <c r="BA529" i="6" s="1"/>
  <c r="Q524" i="6"/>
  <c r="AZ524" i="6" s="1"/>
  <c r="S521" i="6"/>
  <c r="BA521" i="6" s="1"/>
  <c r="Q478" i="6"/>
  <c r="AZ478" i="6" s="1"/>
  <c r="S476" i="6"/>
  <c r="BA476" i="6" s="1"/>
  <c r="Q473" i="6"/>
  <c r="AZ473" i="6" s="1"/>
  <c r="BA466" i="6"/>
  <c r="BA455" i="6"/>
  <c r="Q446" i="6"/>
  <c r="AZ446" i="6" s="1"/>
  <c r="S435" i="6"/>
  <c r="BA435" i="6" s="1"/>
  <c r="AZ407" i="6"/>
  <c r="BA399" i="6"/>
  <c r="BA396" i="6"/>
  <c r="Q364" i="6"/>
  <c r="AZ364" i="6" s="1"/>
  <c r="S360" i="6"/>
  <c r="BA360" i="6" s="1"/>
  <c r="Q358" i="6"/>
  <c r="AZ358" i="6" s="1"/>
  <c r="Q352" i="6"/>
  <c r="AZ352" i="6" s="1"/>
  <c r="Q336" i="6"/>
  <c r="AZ336" i="6" s="1"/>
  <c r="Q326" i="6"/>
  <c r="AZ326" i="6" s="1"/>
  <c r="S313" i="6"/>
  <c r="BA313" i="6" s="1"/>
  <c r="S307" i="6"/>
  <c r="BA307" i="6" s="1"/>
  <c r="Q305" i="6"/>
  <c r="AZ305" i="6" s="1"/>
  <c r="BA274" i="6"/>
  <c r="Q271" i="6"/>
  <c r="AZ271" i="6" s="1"/>
  <c r="AZ250" i="6"/>
  <c r="BA248" i="6"/>
  <c r="BA237" i="6"/>
  <c r="S209" i="6"/>
  <c r="BA209" i="6" s="1"/>
  <c r="Q207" i="6"/>
  <c r="AZ207" i="6" s="1"/>
  <c r="S189" i="6"/>
  <c r="BA189" i="6" s="1"/>
  <c r="S158" i="6"/>
  <c r="BA158" i="6" s="1"/>
  <c r="S97" i="6"/>
  <c r="AZ93" i="6"/>
  <c r="S69" i="6"/>
  <c r="BA69" i="6" s="1"/>
  <c r="S53" i="6"/>
  <c r="BA53" i="6" s="1"/>
  <c r="AZ47" i="6"/>
  <c r="S43" i="6"/>
  <c r="BA43" i="6" s="1"/>
  <c r="AZ38" i="6"/>
  <c r="AZ15" i="6"/>
  <c r="W681" i="6"/>
  <c r="V356" i="6"/>
  <c r="V330" i="6"/>
  <c r="W310" i="6"/>
  <c r="V289" i="6"/>
  <c r="W221" i="6"/>
  <c r="V179" i="6"/>
  <c r="V162" i="6"/>
  <c r="V133" i="6"/>
  <c r="V86" i="6"/>
  <c r="V58" i="6"/>
  <c r="W27" i="6"/>
  <c r="AI95" i="6"/>
  <c r="AI110" i="6"/>
  <c r="AL96" i="6"/>
  <c r="AL113" i="6"/>
  <c r="AM102" i="6"/>
  <c r="AZ178" i="6"/>
  <c r="BA438" i="6"/>
  <c r="AZ385" i="6"/>
  <c r="BA258" i="6"/>
  <c r="AZ237" i="6"/>
  <c r="W8" i="6"/>
  <c r="AL102" i="6"/>
  <c r="AZ676" i="6"/>
  <c r="AZ632" i="6"/>
  <c r="AZ477" i="6"/>
  <c r="BA431" i="6"/>
  <c r="AZ425" i="6"/>
  <c r="BA421" i="6"/>
  <c r="BA407" i="6"/>
  <c r="BA395" i="6"/>
  <c r="AZ343" i="6"/>
  <c r="AZ268" i="6"/>
  <c r="AZ244" i="6"/>
  <c r="AZ51" i="6"/>
  <c r="V682" i="6"/>
  <c r="V623" i="6"/>
  <c r="V562" i="6"/>
  <c r="W544" i="6"/>
  <c r="V527" i="6"/>
  <c r="W439" i="6"/>
  <c r="V333" i="6"/>
  <c r="V312" i="6"/>
  <c r="V275" i="6"/>
  <c r="W222" i="6"/>
  <c r="V211" i="6"/>
  <c r="W197" i="6"/>
  <c r="W164" i="6"/>
  <c r="V140" i="6"/>
  <c r="V87" i="6"/>
  <c r="AL114" i="6"/>
  <c r="AL105" i="6"/>
  <c r="AZ390" i="6"/>
  <c r="S659" i="6"/>
  <c r="BA659" i="6" s="1"/>
  <c r="W659" i="6"/>
  <c r="BA201" i="6"/>
  <c r="AI97" i="6"/>
  <c r="AZ684" i="6"/>
  <c r="S682" i="6"/>
  <c r="BA682" i="6" s="1"/>
  <c r="AZ654" i="6"/>
  <c r="S651" i="6"/>
  <c r="BA651" i="6" s="1"/>
  <c r="Q648" i="6"/>
  <c r="AZ648" i="6" s="1"/>
  <c r="Q624" i="6"/>
  <c r="AZ624" i="6" s="1"/>
  <c r="Q605" i="6"/>
  <c r="AZ605" i="6" s="1"/>
  <c r="BA589" i="6"/>
  <c r="Q581" i="6"/>
  <c r="AZ581" i="6" s="1"/>
  <c r="AZ574" i="6"/>
  <c r="Q571" i="6"/>
  <c r="AZ571" i="6" s="1"/>
  <c r="S568" i="6"/>
  <c r="BA568" i="6" s="1"/>
  <c r="S559" i="6"/>
  <c r="BA559" i="6" s="1"/>
  <c r="Q554" i="6"/>
  <c r="AZ554" i="6" s="1"/>
  <c r="S551" i="6"/>
  <c r="BA551" i="6" s="1"/>
  <c r="Q546" i="6"/>
  <c r="AZ546" i="6" s="1"/>
  <c r="Q538" i="6"/>
  <c r="AZ538" i="6" s="1"/>
  <c r="S535" i="6"/>
  <c r="BA535" i="6" s="1"/>
  <c r="Q530" i="6"/>
  <c r="AZ530" i="6" s="1"/>
  <c r="S527" i="6"/>
  <c r="BA527" i="6" s="1"/>
  <c r="Q522" i="6"/>
  <c r="AZ522" i="6" s="1"/>
  <c r="S519" i="6"/>
  <c r="BA519" i="6" s="1"/>
  <c r="Q514" i="6"/>
  <c r="AZ514" i="6" s="1"/>
  <c r="Q484" i="6"/>
  <c r="AZ484" i="6" s="1"/>
  <c r="S473" i="6"/>
  <c r="BA473" i="6" s="1"/>
  <c r="BA467" i="6"/>
  <c r="Q468" i="6"/>
  <c r="AZ468" i="6" s="1"/>
  <c r="S446" i="6"/>
  <c r="BA446" i="6" s="1"/>
  <c r="Q451" i="6"/>
  <c r="AZ451" i="6" s="1"/>
  <c r="S445" i="6"/>
  <c r="BA445" i="6" s="1"/>
  <c r="S364" i="6"/>
  <c r="BA364" i="6" s="1"/>
  <c r="S358" i="6"/>
  <c r="BA358" i="6" s="1"/>
  <c r="S346" i="6"/>
  <c r="BA346" i="6" s="1"/>
  <c r="S336" i="6"/>
  <c r="BA336" i="6" s="1"/>
  <c r="S317" i="6"/>
  <c r="BA317" i="6" s="1"/>
  <c r="S305" i="6"/>
  <c r="BA305" i="6" s="1"/>
  <c r="BA302" i="6"/>
  <c r="BA298" i="6"/>
  <c r="S291" i="6"/>
  <c r="BA291" i="6" s="1"/>
  <c r="BA249" i="6"/>
  <c r="BA210" i="6"/>
  <c r="S207" i="6"/>
  <c r="BA207" i="6" s="1"/>
  <c r="S178" i="6"/>
  <c r="BA178" i="6" s="1"/>
  <c r="S119" i="6"/>
  <c r="S86" i="6"/>
  <c r="BA86" i="6" s="1"/>
  <c r="S60" i="6"/>
  <c r="BA60" i="6" s="1"/>
  <c r="S41" i="6"/>
  <c r="BA41" i="6" s="1"/>
  <c r="S38" i="6"/>
  <c r="BA38" i="6" s="1"/>
  <c r="S34" i="6"/>
  <c r="BA34" i="6" s="1"/>
  <c r="S21" i="6"/>
  <c r="BA21" i="6" s="1"/>
  <c r="AZ23" i="6"/>
  <c r="S15" i="6"/>
  <c r="BA15" i="6" s="1"/>
  <c r="S12" i="6"/>
  <c r="BA12" i="6" s="1"/>
  <c r="S9" i="6"/>
  <c r="BA9" i="6" s="1"/>
  <c r="W690" i="6"/>
  <c r="V379" i="6"/>
  <c r="V362" i="6"/>
  <c r="V315" i="6"/>
  <c r="V294" i="6"/>
  <c r="V225" i="6"/>
  <c r="V169" i="6"/>
  <c r="V111" i="6"/>
  <c r="V63" i="6"/>
  <c r="W14" i="6"/>
  <c r="AG121" i="6"/>
  <c r="AI114" i="6"/>
  <c r="AG111" i="6"/>
  <c r="AZ111" i="6" s="1"/>
  <c r="AM105" i="6"/>
  <c r="BA391" i="6"/>
  <c r="V664" i="6"/>
  <c r="W518" i="6"/>
  <c r="V161" i="6"/>
  <c r="AZ625" i="6"/>
  <c r="AZ596" i="6"/>
  <c r="BA554" i="6"/>
  <c r="AZ440" i="6"/>
  <c r="AZ437" i="6"/>
  <c r="AZ429" i="6"/>
  <c r="BA413" i="6"/>
  <c r="AZ411" i="6"/>
  <c r="BA402" i="6"/>
  <c r="BA388" i="6"/>
  <c r="AZ347" i="6"/>
  <c r="AZ303" i="6"/>
  <c r="AZ292" i="6"/>
  <c r="AZ245" i="6"/>
  <c r="AZ242" i="6"/>
  <c r="AZ87" i="6"/>
  <c r="AZ61" i="6"/>
  <c r="AZ42" i="6"/>
  <c r="V639" i="6"/>
  <c r="V580" i="6"/>
  <c r="W567" i="6"/>
  <c r="W458" i="6"/>
  <c r="W383" i="6"/>
  <c r="V339" i="6"/>
  <c r="W319" i="6"/>
  <c r="V227" i="6"/>
  <c r="W201" i="6"/>
  <c r="W169" i="6"/>
  <c r="V148" i="6"/>
  <c r="V79" i="6"/>
  <c r="V19" i="6"/>
  <c r="AM116" i="6"/>
  <c r="AL98" i="6"/>
  <c r="AZ339" i="6"/>
  <c r="AZ285" i="6"/>
  <c r="Q677" i="6"/>
  <c r="AZ677" i="6" s="1"/>
  <c r="S629" i="6"/>
  <c r="BA629" i="6" s="1"/>
  <c r="S591" i="6"/>
  <c r="BA591" i="6" s="1"/>
  <c r="AZ673" i="6"/>
  <c r="Q646" i="6"/>
  <c r="AZ646" i="6" s="1"/>
  <c r="W638" i="6"/>
  <c r="W614" i="6"/>
  <c r="S613" i="6"/>
  <c r="BA613" i="6" s="1"/>
  <c r="S600" i="6"/>
  <c r="BA600" i="6" s="1"/>
  <c r="V647" i="6"/>
  <c r="BA603" i="6"/>
  <c r="S635" i="6"/>
  <c r="BA635" i="6" s="1"/>
  <c r="W579" i="6"/>
  <c r="Q665" i="6"/>
  <c r="AZ665" i="6" s="1"/>
  <c r="Q650" i="6"/>
  <c r="AZ650" i="6" s="1"/>
  <c r="S606" i="6"/>
  <c r="BA606" i="6" s="1"/>
  <c r="S584" i="6"/>
  <c r="BA584" i="6" s="1"/>
  <c r="Q690" i="6"/>
  <c r="AZ690" i="6" s="1"/>
  <c r="Q683" i="6"/>
  <c r="AZ683" i="6" s="1"/>
  <c r="Q663" i="6"/>
  <c r="AZ663" i="6" s="1"/>
  <c r="Q657" i="6"/>
  <c r="AZ657" i="6" s="1"/>
  <c r="S617" i="6"/>
  <c r="BA617" i="6" s="1"/>
  <c r="S611" i="6"/>
  <c r="BA611" i="6" s="1"/>
  <c r="S604" i="6"/>
  <c r="BA604" i="6" s="1"/>
  <c r="S598" i="6"/>
  <c r="BA598" i="6" s="1"/>
  <c r="S590" i="6"/>
  <c r="BA590" i="6" s="1"/>
  <c r="V691" i="6"/>
  <c r="V656" i="6"/>
  <c r="Q692" i="6"/>
  <c r="AZ692" i="6" s="1"/>
  <c r="W630" i="6"/>
  <c r="W607" i="6"/>
  <c r="S670" i="6"/>
  <c r="BA670" i="6" s="1"/>
  <c r="Q659" i="6"/>
  <c r="AZ659" i="6" s="1"/>
  <c r="Q628" i="6"/>
  <c r="Q622" i="6"/>
  <c r="AZ622" i="6" s="1"/>
  <c r="Q620" i="6"/>
  <c r="AZ620" i="6" s="1"/>
  <c r="S286" i="6"/>
  <c r="BA286" i="6" s="1"/>
  <c r="W286" i="6"/>
  <c r="S230" i="6"/>
  <c r="BA230" i="6" s="1"/>
  <c r="W230" i="6"/>
  <c r="Q195" i="6"/>
  <c r="AZ195" i="6" s="1"/>
  <c r="V195" i="6"/>
  <c r="Q91" i="6"/>
  <c r="AZ91" i="6" s="1"/>
  <c r="V91" i="6"/>
  <c r="W74" i="6"/>
  <c r="S74" i="6"/>
  <c r="BA74" i="6" s="1"/>
  <c r="Q37" i="6"/>
  <c r="AZ37" i="6" s="1"/>
  <c r="V37" i="6"/>
  <c r="V684" i="6"/>
  <c r="V658" i="6"/>
  <c r="V625" i="6"/>
  <c r="V596" i="6"/>
  <c r="V521" i="6"/>
  <c r="W302" i="6"/>
  <c r="S675" i="6"/>
  <c r="BA675" i="6" s="1"/>
  <c r="S665" i="6"/>
  <c r="BA665" i="6" s="1"/>
  <c r="W665" i="6"/>
  <c r="S657" i="6"/>
  <c r="BA657" i="6" s="1"/>
  <c r="W657" i="6"/>
  <c r="S616" i="6"/>
  <c r="BA616" i="6" s="1"/>
  <c r="W616" i="6"/>
  <c r="S609" i="6"/>
  <c r="BA609" i="6" s="1"/>
  <c r="W609" i="6"/>
  <c r="S601" i="6"/>
  <c r="BA601" i="6" s="1"/>
  <c r="W601" i="6"/>
  <c r="S595" i="6"/>
  <c r="BA595" i="6" s="1"/>
  <c r="W595" i="6"/>
  <c r="S587" i="6"/>
  <c r="BA587" i="6" s="1"/>
  <c r="W587" i="6"/>
  <c r="S577" i="6"/>
  <c r="BA577" i="6" s="1"/>
  <c r="W577" i="6"/>
  <c r="S569" i="6"/>
  <c r="BA569" i="6" s="1"/>
  <c r="W569" i="6"/>
  <c r="S560" i="6"/>
  <c r="BA560" i="6" s="1"/>
  <c r="W560" i="6"/>
  <c r="S552" i="6"/>
  <c r="W552" i="6"/>
  <c r="S545" i="6"/>
  <c r="BA545" i="6" s="1"/>
  <c r="W545" i="6"/>
  <c r="S536" i="6"/>
  <c r="BA536" i="6" s="1"/>
  <c r="W536" i="6"/>
  <c r="S528" i="6"/>
  <c r="BA528" i="6" s="1"/>
  <c r="W528" i="6"/>
  <c r="S520" i="6"/>
  <c r="BA520" i="6" s="1"/>
  <c r="W520" i="6"/>
  <c r="S483" i="6"/>
  <c r="BA483" i="6" s="1"/>
  <c r="W483" i="6"/>
  <c r="Q460" i="6"/>
  <c r="AZ460" i="6" s="1"/>
  <c r="V460" i="6"/>
  <c r="S442" i="6"/>
  <c r="BA442" i="6" s="1"/>
  <c r="W442" i="6"/>
  <c r="S436" i="6"/>
  <c r="BA436" i="6" s="1"/>
  <c r="W436" i="6"/>
  <c r="Q378" i="6"/>
  <c r="AZ378" i="6" s="1"/>
  <c r="V378" i="6"/>
  <c r="Q377" i="6"/>
  <c r="AZ377" i="6" s="1"/>
  <c r="V377" i="6"/>
  <c r="S369" i="6"/>
  <c r="BA369" i="6" s="1"/>
  <c r="W369" i="6"/>
  <c r="Q355" i="6"/>
  <c r="AZ355" i="6" s="1"/>
  <c r="V355" i="6"/>
  <c r="S349" i="6"/>
  <c r="BA349" i="6" s="1"/>
  <c r="W349" i="6"/>
  <c r="V332" i="6"/>
  <c r="Q332" i="6"/>
  <c r="AZ332" i="6" s="1"/>
  <c r="S323" i="6"/>
  <c r="BA323" i="6" s="1"/>
  <c r="W323" i="6"/>
  <c r="Q314" i="6"/>
  <c r="AZ314" i="6" s="1"/>
  <c r="V314" i="6"/>
  <c r="Q302" i="6"/>
  <c r="AZ302" i="6" s="1"/>
  <c r="V302" i="6"/>
  <c r="Q286" i="6"/>
  <c r="AZ286" i="6" s="1"/>
  <c r="V286" i="6"/>
  <c r="Q283" i="6"/>
  <c r="AZ283" i="6" s="1"/>
  <c r="V283" i="6"/>
  <c r="Q230" i="6"/>
  <c r="AZ230" i="6" s="1"/>
  <c r="V230" i="6"/>
  <c r="W225" i="6"/>
  <c r="S225" i="6"/>
  <c r="BA225" i="6" s="1"/>
  <c r="Q204" i="6"/>
  <c r="AZ204" i="6" s="1"/>
  <c r="V204" i="6"/>
  <c r="Q184" i="6"/>
  <c r="AZ184" i="6" s="1"/>
  <c r="V184" i="6"/>
  <c r="W179" i="6"/>
  <c r="S179" i="6"/>
  <c r="BA179" i="6" s="1"/>
  <c r="Q177" i="6"/>
  <c r="AZ177" i="6" s="1"/>
  <c r="V177" i="6"/>
  <c r="Q160" i="6"/>
  <c r="AZ160" i="6" s="1"/>
  <c r="V160" i="6"/>
  <c r="Q154" i="6"/>
  <c r="AZ154" i="6" s="1"/>
  <c r="V154" i="6"/>
  <c r="Q144" i="6"/>
  <c r="AZ144" i="6" s="1"/>
  <c r="V144" i="6"/>
  <c r="Q123" i="6"/>
  <c r="AZ123" i="6" s="1"/>
  <c r="V123" i="6"/>
  <c r="S115" i="6"/>
  <c r="BA115" i="6" s="1"/>
  <c r="W115" i="6"/>
  <c r="Q112" i="6"/>
  <c r="V112" i="6"/>
  <c r="W105" i="6"/>
  <c r="S105" i="6"/>
  <c r="BA105" i="6" s="1"/>
  <c r="S103" i="6"/>
  <c r="W103" i="6"/>
  <c r="Q100" i="6"/>
  <c r="V100" i="6"/>
  <c r="Q77" i="6"/>
  <c r="AZ77" i="6" s="1"/>
  <c r="V77" i="6"/>
  <c r="S70" i="6"/>
  <c r="BA70" i="6" s="1"/>
  <c r="W70" i="6"/>
  <c r="Q65" i="6"/>
  <c r="AZ65" i="6" s="1"/>
  <c r="V65" i="6"/>
  <c r="W54" i="6"/>
  <c r="S54" i="6"/>
  <c r="BA54" i="6" s="1"/>
  <c r="Q48" i="6"/>
  <c r="AZ48" i="6" s="1"/>
  <c r="V48" i="6"/>
  <c r="W44" i="6"/>
  <c r="S44" i="6"/>
  <c r="BA44" i="6" s="1"/>
  <c r="Q29" i="6"/>
  <c r="AZ29" i="6" s="1"/>
  <c r="V29" i="6"/>
  <c r="Q17" i="6"/>
  <c r="AZ17" i="6" s="1"/>
  <c r="V17" i="6"/>
  <c r="V537" i="6"/>
  <c r="V475" i="6"/>
  <c r="W455" i="6"/>
  <c r="V338" i="6"/>
  <c r="V292" i="6"/>
  <c r="V277" i="6"/>
  <c r="V233" i="6"/>
  <c r="V157" i="6"/>
  <c r="W20" i="6"/>
  <c r="AZ604" i="6"/>
  <c r="Q582" i="6"/>
  <c r="AZ582" i="6" s="1"/>
  <c r="V582" i="6"/>
  <c r="Q547" i="6"/>
  <c r="AZ547" i="6" s="1"/>
  <c r="V547" i="6"/>
  <c r="AZ523" i="6"/>
  <c r="Q515" i="6"/>
  <c r="AZ515" i="6" s="1"/>
  <c r="V515" i="6"/>
  <c r="Q485" i="6"/>
  <c r="AZ485" i="6" s="1"/>
  <c r="V485" i="6"/>
  <c r="S450" i="6"/>
  <c r="BA450" i="6" s="1"/>
  <c r="W450" i="6"/>
  <c r="Q442" i="6"/>
  <c r="AZ442" i="6" s="1"/>
  <c r="V442" i="6"/>
  <c r="S375" i="6"/>
  <c r="BA375" i="6" s="1"/>
  <c r="W375" i="6"/>
  <c r="Q369" i="6"/>
  <c r="AZ369" i="6" s="1"/>
  <c r="V369" i="6"/>
  <c r="S363" i="6"/>
  <c r="BA363" i="6" s="1"/>
  <c r="W363" i="6"/>
  <c r="S357" i="6"/>
  <c r="BA357" i="6" s="1"/>
  <c r="W357" i="6"/>
  <c r="S331" i="6"/>
  <c r="BA331" i="6" s="1"/>
  <c r="W331" i="6"/>
  <c r="Q323" i="6"/>
  <c r="AZ323" i="6" s="1"/>
  <c r="V323" i="6"/>
  <c r="Q320" i="6"/>
  <c r="AZ320" i="6" s="1"/>
  <c r="V320" i="6"/>
  <c r="S301" i="6"/>
  <c r="BA301" i="6" s="1"/>
  <c r="W301" i="6"/>
  <c r="Q276" i="6"/>
  <c r="AZ276" i="6" s="1"/>
  <c r="V276" i="6"/>
  <c r="V273" i="6"/>
  <c r="Q273" i="6"/>
  <c r="AZ273" i="6" s="1"/>
  <c r="S235" i="6"/>
  <c r="BA235" i="6" s="1"/>
  <c r="W235" i="6"/>
  <c r="Q229" i="6"/>
  <c r="AZ229" i="6" s="1"/>
  <c r="V229" i="6"/>
  <c r="S218" i="6"/>
  <c r="BA218" i="6" s="1"/>
  <c r="W218" i="6"/>
  <c r="Q213" i="6"/>
  <c r="AZ213" i="6" s="1"/>
  <c r="V213" i="6"/>
  <c r="Q194" i="6"/>
  <c r="AZ194" i="6" s="1"/>
  <c r="V194" i="6"/>
  <c r="Q181" i="6"/>
  <c r="AZ181" i="6" s="1"/>
  <c r="V181" i="6"/>
  <c r="W153" i="6"/>
  <c r="S153" i="6"/>
  <c r="BA153" i="6" s="1"/>
  <c r="Q132" i="6"/>
  <c r="AZ132" i="6" s="1"/>
  <c r="V132" i="6"/>
  <c r="Q128" i="6"/>
  <c r="AZ128" i="6" s="1"/>
  <c r="V128" i="6"/>
  <c r="W111" i="6"/>
  <c r="S111" i="6"/>
  <c r="Q108" i="6"/>
  <c r="V108" i="6"/>
  <c r="Q81" i="6"/>
  <c r="AZ81" i="6" s="1"/>
  <c r="V81" i="6"/>
  <c r="Q68" i="6"/>
  <c r="AZ68" i="6" s="1"/>
  <c r="V68" i="6"/>
  <c r="W58" i="6"/>
  <c r="S58" i="6"/>
  <c r="BA58" i="6" s="1"/>
  <c r="Q54" i="6"/>
  <c r="AZ54" i="6" s="1"/>
  <c r="V54" i="6"/>
  <c r="W23" i="6"/>
  <c r="S23" i="6"/>
  <c r="BA23" i="6" s="1"/>
  <c r="S10" i="6"/>
  <c r="BA10" i="6" s="1"/>
  <c r="W10" i="6"/>
  <c r="V574" i="6"/>
  <c r="V462" i="6"/>
  <c r="V455" i="6"/>
  <c r="V445" i="6"/>
  <c r="V437" i="6"/>
  <c r="V381" i="6"/>
  <c r="V354" i="6"/>
  <c r="W335" i="6"/>
  <c r="V317" i="6"/>
  <c r="V308" i="6"/>
  <c r="V299" i="6"/>
  <c r="W288" i="6"/>
  <c r="W188" i="6"/>
  <c r="W156" i="6"/>
  <c r="V119" i="6"/>
  <c r="V98" i="6"/>
  <c r="W47" i="6"/>
  <c r="AL99" i="6"/>
  <c r="AG99" i="6"/>
  <c r="AZ99" i="6" s="1"/>
  <c r="AZ643" i="6"/>
  <c r="AZ610" i="6"/>
  <c r="BA552" i="6"/>
  <c r="BA335" i="6"/>
  <c r="BA619" i="6"/>
  <c r="S581" i="6"/>
  <c r="BA581" i="6" s="1"/>
  <c r="W581" i="6"/>
  <c r="S571" i="6"/>
  <c r="BA571" i="6" s="1"/>
  <c r="W571" i="6"/>
  <c r="S562" i="6"/>
  <c r="BA562" i="6" s="1"/>
  <c r="W562" i="6"/>
  <c r="S546" i="6"/>
  <c r="BA546" i="6" s="1"/>
  <c r="W546" i="6"/>
  <c r="S538" i="6"/>
  <c r="BA538" i="6" s="1"/>
  <c r="W538" i="6"/>
  <c r="S530" i="6"/>
  <c r="BA530" i="6" s="1"/>
  <c r="W530" i="6"/>
  <c r="S514" i="6"/>
  <c r="BA514" i="6" s="1"/>
  <c r="W514" i="6"/>
  <c r="S484" i="6"/>
  <c r="BA484" i="6" s="1"/>
  <c r="W484" i="6"/>
  <c r="Q474" i="6"/>
  <c r="AZ474" i="6" s="1"/>
  <c r="V474" i="6"/>
  <c r="S462" i="6"/>
  <c r="BA462" i="6" s="1"/>
  <c r="W462" i="6"/>
  <c r="S454" i="6"/>
  <c r="BA454" i="6" s="1"/>
  <c r="S444" i="6"/>
  <c r="BA444" i="6" s="1"/>
  <c r="W444" i="6"/>
  <c r="Q383" i="6"/>
  <c r="AZ383" i="6" s="1"/>
  <c r="V383" i="6"/>
  <c r="Q380" i="6"/>
  <c r="AZ380" i="6" s="1"/>
  <c r="Q375" i="6"/>
  <c r="AZ375" i="6" s="1"/>
  <c r="V375" i="6"/>
  <c r="S368" i="6"/>
  <c r="BA368" i="6" s="1"/>
  <c r="S345" i="6"/>
  <c r="BA345" i="6" s="1"/>
  <c r="W345" i="6"/>
  <c r="S342" i="6"/>
  <c r="BA342" i="6" s="1"/>
  <c r="Q340" i="6"/>
  <c r="AZ340" i="6" s="1"/>
  <c r="Q337" i="6"/>
  <c r="AZ337" i="6" s="1"/>
  <c r="V337" i="6"/>
  <c r="Q334" i="6"/>
  <c r="AZ334" i="6" s="1"/>
  <c r="Q328" i="6"/>
  <c r="AZ328" i="6" s="1"/>
  <c r="S325" i="6"/>
  <c r="BA325" i="6" s="1"/>
  <c r="W325" i="6"/>
  <c r="S322" i="6"/>
  <c r="BA322" i="6" s="1"/>
  <c r="S297" i="6"/>
  <c r="BA297" i="6" s="1"/>
  <c r="Q282" i="6"/>
  <c r="AZ282" i="6" s="1"/>
  <c r="V282" i="6"/>
  <c r="Q221" i="6"/>
  <c r="AZ221" i="6" s="1"/>
  <c r="V221" i="6"/>
  <c r="Q218" i="6"/>
  <c r="AZ218" i="6" s="1"/>
  <c r="V218" i="6"/>
  <c r="Q201" i="6"/>
  <c r="AZ201" i="6" s="1"/>
  <c r="V201" i="6"/>
  <c r="S192" i="6"/>
  <c r="BA192" i="6" s="1"/>
  <c r="W192" i="6"/>
  <c r="Q166" i="6"/>
  <c r="AZ166" i="6" s="1"/>
  <c r="V166" i="6"/>
  <c r="Q156" i="6"/>
  <c r="AZ156" i="6" s="1"/>
  <c r="V156" i="6"/>
  <c r="Q142" i="6"/>
  <c r="AZ142" i="6" s="1"/>
  <c r="V142" i="6"/>
  <c r="Q122" i="6"/>
  <c r="AZ122" i="6" s="1"/>
  <c r="V122" i="6"/>
  <c r="W118" i="6"/>
  <c r="S118" i="6"/>
  <c r="BA118" i="6" s="1"/>
  <c r="S114" i="6"/>
  <c r="W114" i="6"/>
  <c r="S89" i="6"/>
  <c r="BA89" i="6" s="1"/>
  <c r="W89" i="6"/>
  <c r="Q83" i="6"/>
  <c r="AZ83" i="6" s="1"/>
  <c r="V83" i="6"/>
  <c r="Q60" i="6"/>
  <c r="AZ60" i="6" s="1"/>
  <c r="V60" i="6"/>
  <c r="S36" i="6"/>
  <c r="BA36" i="6" s="1"/>
  <c r="Q13" i="6"/>
  <c r="AZ13" i="6" s="1"/>
  <c r="V13" i="6"/>
  <c r="Q10" i="6"/>
  <c r="AZ10" i="6" s="1"/>
  <c r="V10" i="6"/>
  <c r="Q7" i="6"/>
  <c r="AZ7" i="6" s="1"/>
  <c r="V7" i="6"/>
  <c r="V564" i="6"/>
  <c r="V541" i="6"/>
  <c r="W526" i="6"/>
  <c r="V436" i="6"/>
  <c r="W371" i="6"/>
  <c r="W362" i="6"/>
  <c r="V353" i="6"/>
  <c r="V344" i="6"/>
  <c r="V335" i="6"/>
  <c r="W316" i="6"/>
  <c r="W298" i="6"/>
  <c r="W289" i="6"/>
  <c r="V228" i="6"/>
  <c r="W186" i="6"/>
  <c r="V155" i="6"/>
  <c r="W83" i="6"/>
  <c r="V74" i="6"/>
  <c r="V45" i="6"/>
  <c r="V15" i="6"/>
  <c r="AZ397" i="6"/>
  <c r="BA390" i="6"/>
  <c r="Q529" i="6"/>
  <c r="AZ529" i="6" s="1"/>
  <c r="V529" i="6"/>
  <c r="Q434" i="6"/>
  <c r="AZ434" i="6" s="1"/>
  <c r="V434" i="6"/>
  <c r="S355" i="6"/>
  <c r="BA355" i="6" s="1"/>
  <c r="W355" i="6"/>
  <c r="S308" i="6"/>
  <c r="BA308" i="6" s="1"/>
  <c r="W308" i="6"/>
  <c r="S295" i="6"/>
  <c r="BA295" i="6" s="1"/>
  <c r="W295" i="6"/>
  <c r="W198" i="6"/>
  <c r="S198" i="6"/>
  <c r="BA198" i="6" s="1"/>
  <c r="V666" i="6"/>
  <c r="V633" i="6"/>
  <c r="V610" i="6"/>
  <c r="W463" i="6"/>
  <c r="W311" i="6"/>
  <c r="W233" i="6"/>
  <c r="AG118" i="6"/>
  <c r="AL118" i="6"/>
  <c r="S632" i="6"/>
  <c r="BA632" i="6" s="1"/>
  <c r="W632" i="6"/>
  <c r="AZ629" i="6"/>
  <c r="Q566" i="6"/>
  <c r="AZ566" i="6" s="1"/>
  <c r="V566" i="6"/>
  <c r="BA503" i="6"/>
  <c r="S482" i="6"/>
  <c r="BA482" i="6" s="1"/>
  <c r="W482" i="6"/>
  <c r="S359" i="6"/>
  <c r="BA359" i="6" s="1"/>
  <c r="W359" i="6"/>
  <c r="Q351" i="6"/>
  <c r="AZ351" i="6" s="1"/>
  <c r="V351" i="6"/>
  <c r="Q212" i="6"/>
  <c r="AZ212" i="6" s="1"/>
  <c r="V212" i="6"/>
  <c r="Q561" i="6"/>
  <c r="AZ561" i="6" s="1"/>
  <c r="V561" i="6"/>
  <c r="S314" i="6"/>
  <c r="BA314" i="6" s="1"/>
  <c r="W314" i="6"/>
  <c r="S292" i="6"/>
  <c r="BA292" i="6" s="1"/>
  <c r="W292" i="6"/>
  <c r="Q116" i="6"/>
  <c r="AZ116" i="6" s="1"/>
  <c r="V116" i="6"/>
  <c r="V676" i="6"/>
  <c r="V641" i="6"/>
  <c r="V602" i="6"/>
  <c r="V448" i="6"/>
  <c r="W377" i="6"/>
  <c r="S648" i="6"/>
  <c r="BA648" i="6" s="1"/>
  <c r="W648" i="6"/>
  <c r="Q549" i="6"/>
  <c r="AZ549" i="6" s="1"/>
  <c r="V549" i="6"/>
  <c r="Q533" i="6"/>
  <c r="AZ533" i="6" s="1"/>
  <c r="V533" i="6"/>
  <c r="Q525" i="6"/>
  <c r="AZ525" i="6" s="1"/>
  <c r="V525" i="6"/>
  <c r="Q517" i="6"/>
  <c r="AZ517" i="6" s="1"/>
  <c r="V517" i="6"/>
  <c r="S456" i="6"/>
  <c r="BA456" i="6" s="1"/>
  <c r="W456" i="6"/>
  <c r="S449" i="6"/>
  <c r="BA449" i="6" s="1"/>
  <c r="W449" i="6"/>
  <c r="Q345" i="6"/>
  <c r="AZ345" i="6" s="1"/>
  <c r="V345" i="6"/>
  <c r="Q310" i="6"/>
  <c r="AZ310" i="6" s="1"/>
  <c r="V310" i="6"/>
  <c r="S300" i="6"/>
  <c r="BA300" i="6" s="1"/>
  <c r="W300" i="6"/>
  <c r="Q224" i="6"/>
  <c r="AZ224" i="6" s="1"/>
  <c r="V224" i="6"/>
  <c r="Q192" i="6"/>
  <c r="AZ192" i="6" s="1"/>
  <c r="V192" i="6"/>
  <c r="Q147" i="6"/>
  <c r="AZ147" i="6" s="1"/>
  <c r="V147" i="6"/>
  <c r="Q21" i="6"/>
  <c r="AZ21" i="6" s="1"/>
  <c r="V21" i="6"/>
  <c r="V689" i="6"/>
  <c r="V653" i="6"/>
  <c r="V637" i="6"/>
  <c r="V621" i="6"/>
  <c r="V606" i="6"/>
  <c r="V591" i="6"/>
  <c r="V553" i="6"/>
  <c r="W452" i="6"/>
  <c r="W352" i="6"/>
  <c r="V316" i="6"/>
  <c r="V32" i="6"/>
  <c r="S96" i="6"/>
  <c r="W96" i="6"/>
  <c r="S679" i="6"/>
  <c r="BA679" i="6" s="1"/>
  <c r="W679" i="6"/>
  <c r="S662" i="6"/>
  <c r="BA662" i="6" s="1"/>
  <c r="W662" i="6"/>
  <c r="S644" i="6"/>
  <c r="BA644" i="6" s="1"/>
  <c r="W644" i="6"/>
  <c r="S612" i="6"/>
  <c r="BA612" i="6" s="1"/>
  <c r="W612" i="6"/>
  <c r="S563" i="6"/>
  <c r="BA563" i="6" s="1"/>
  <c r="W563" i="6"/>
  <c r="S565" i="6"/>
  <c r="BA565" i="6" s="1"/>
  <c r="W565" i="6"/>
  <c r="S548" i="6"/>
  <c r="BA548" i="6" s="1"/>
  <c r="W548" i="6"/>
  <c r="S532" i="6"/>
  <c r="BA532" i="6" s="1"/>
  <c r="W532" i="6"/>
  <c r="V368" i="6"/>
  <c r="Q368" i="6"/>
  <c r="AZ368" i="6" s="1"/>
  <c r="Q300" i="6"/>
  <c r="AZ300" i="6" s="1"/>
  <c r="V300" i="6"/>
  <c r="S290" i="6"/>
  <c r="BA290" i="6" s="1"/>
  <c r="W290" i="6"/>
  <c r="Q278" i="6"/>
  <c r="AZ278" i="6" s="1"/>
  <c r="V278" i="6"/>
  <c r="S208" i="6"/>
  <c r="BA208" i="6" s="1"/>
  <c r="W208" i="6"/>
  <c r="Q165" i="6"/>
  <c r="AZ165" i="6" s="1"/>
  <c r="V165" i="6"/>
  <c r="Q97" i="6"/>
  <c r="V97" i="6"/>
  <c r="S88" i="6"/>
  <c r="BA88" i="6" s="1"/>
  <c r="W88" i="6"/>
  <c r="Q53" i="6"/>
  <c r="AZ53" i="6" s="1"/>
  <c r="V53" i="6"/>
  <c r="W33" i="6"/>
  <c r="S33" i="6"/>
  <c r="BA33" i="6" s="1"/>
  <c r="V95" i="6"/>
  <c r="V678" i="6"/>
  <c r="V661" i="6"/>
  <c r="V643" i="6"/>
  <c r="V627" i="6"/>
  <c r="V611" i="6"/>
  <c r="V598" i="6"/>
  <c r="V523" i="6"/>
  <c r="V370" i="6"/>
  <c r="V163" i="6"/>
  <c r="AI106" i="6"/>
  <c r="BA106" i="6" s="1"/>
  <c r="AM106" i="6"/>
  <c r="AZ649" i="6"/>
  <c r="BA389" i="6"/>
  <c r="Q96" i="6"/>
  <c r="AZ96" i="6" s="1"/>
  <c r="S684" i="6"/>
  <c r="BA684" i="6" s="1"/>
  <c r="Q688" i="6"/>
  <c r="AZ688" i="6" s="1"/>
  <c r="S685" i="6"/>
  <c r="BA685" i="6" s="1"/>
  <c r="Q679" i="6"/>
  <c r="AZ679" i="6" s="1"/>
  <c r="S676" i="6"/>
  <c r="BA676" i="6" s="1"/>
  <c r="S666" i="6"/>
  <c r="BA666" i="6" s="1"/>
  <c r="Q662" i="6"/>
  <c r="AZ662" i="6" s="1"/>
  <c r="S658" i="6"/>
  <c r="BA658" i="6" s="1"/>
  <c r="Q652" i="6"/>
  <c r="AZ652" i="6" s="1"/>
  <c r="S649" i="6"/>
  <c r="BA649" i="6" s="1"/>
  <c r="Q644" i="6"/>
  <c r="AZ644" i="6" s="1"/>
  <c r="S641" i="6"/>
  <c r="BA641" i="6" s="1"/>
  <c r="Q636" i="6"/>
  <c r="AZ636" i="6" s="1"/>
  <c r="S633" i="6"/>
  <c r="BA633" i="6" s="1"/>
  <c r="Q586" i="6"/>
  <c r="AZ586" i="6" s="1"/>
  <c r="V586" i="6"/>
  <c r="Q576" i="6"/>
  <c r="AZ576" i="6" s="1"/>
  <c r="V576" i="6"/>
  <c r="Q568" i="6"/>
  <c r="AZ568" i="6" s="1"/>
  <c r="V568" i="6"/>
  <c r="Q551" i="6"/>
  <c r="AZ551" i="6" s="1"/>
  <c r="V551" i="6"/>
  <c r="Q544" i="6"/>
  <c r="AZ544" i="6" s="1"/>
  <c r="V544" i="6"/>
  <c r="Q535" i="6"/>
  <c r="AZ535" i="6" s="1"/>
  <c r="V535" i="6"/>
  <c r="Q519" i="6"/>
  <c r="AZ519" i="6" s="1"/>
  <c r="V519" i="6"/>
  <c r="AZ516" i="6"/>
  <c r="AZ492" i="6"/>
  <c r="S464" i="6"/>
  <c r="BA464" i="6" s="1"/>
  <c r="W464" i="6"/>
  <c r="S448" i="6"/>
  <c r="BA448" i="6" s="1"/>
  <c r="W448" i="6"/>
  <c r="S453" i="6"/>
  <c r="BA453" i="6" s="1"/>
  <c r="W453" i="6"/>
  <c r="S447" i="6"/>
  <c r="BA447" i="6" s="1"/>
  <c r="W447" i="6"/>
  <c r="V382" i="6"/>
  <c r="Q382" i="6"/>
  <c r="AZ382" i="6" s="1"/>
  <c r="S374" i="6"/>
  <c r="BA374" i="6" s="1"/>
  <c r="W374" i="6"/>
  <c r="S361" i="6"/>
  <c r="BA361" i="6" s="1"/>
  <c r="W361" i="6"/>
  <c r="S347" i="6"/>
  <c r="BA347" i="6" s="1"/>
  <c r="W347" i="6"/>
  <c r="Q327" i="6"/>
  <c r="AZ327" i="6" s="1"/>
  <c r="V327" i="6"/>
  <c r="S318" i="6"/>
  <c r="BA318" i="6" s="1"/>
  <c r="W318" i="6"/>
  <c r="S306" i="6"/>
  <c r="BA306" i="6" s="1"/>
  <c r="W306" i="6"/>
  <c r="W299" i="6"/>
  <c r="S299" i="6"/>
  <c r="BA299" i="6" s="1"/>
  <c r="Q290" i="6"/>
  <c r="AZ290" i="6" s="1"/>
  <c r="V290" i="6"/>
  <c r="S214" i="6"/>
  <c r="BA214" i="6" s="1"/>
  <c r="W214" i="6"/>
  <c r="S199" i="6"/>
  <c r="BA199" i="6" s="1"/>
  <c r="W199" i="6"/>
  <c r="Q196" i="6"/>
  <c r="AZ196" i="6" s="1"/>
  <c r="V196" i="6"/>
  <c r="S171" i="6"/>
  <c r="BA171" i="6" s="1"/>
  <c r="W171" i="6"/>
  <c r="Q168" i="6"/>
  <c r="AZ168" i="6" s="1"/>
  <c r="V168" i="6"/>
  <c r="Q151" i="6"/>
  <c r="AZ151" i="6" s="1"/>
  <c r="V151" i="6"/>
  <c r="Q126" i="6"/>
  <c r="AZ126" i="6" s="1"/>
  <c r="V126" i="6"/>
  <c r="Q82" i="6"/>
  <c r="AZ82" i="6" s="1"/>
  <c r="V82" i="6"/>
  <c r="W64" i="6"/>
  <c r="S64" i="6"/>
  <c r="BA64" i="6" s="1"/>
  <c r="Q62" i="6"/>
  <c r="AZ62" i="6" s="1"/>
  <c r="V62" i="6"/>
  <c r="Q22" i="6"/>
  <c r="AZ22" i="6" s="1"/>
  <c r="V22" i="6"/>
  <c r="Q18" i="6"/>
  <c r="AZ18" i="6" s="1"/>
  <c r="V18" i="6"/>
  <c r="Q9" i="6"/>
  <c r="AZ9" i="6" s="1"/>
  <c r="V9" i="6"/>
  <c r="W94" i="6"/>
  <c r="W686" i="6"/>
  <c r="W677" i="6"/>
  <c r="W660" i="6"/>
  <c r="W650" i="6"/>
  <c r="W642" i="6"/>
  <c r="W634" i="6"/>
  <c r="W619" i="6"/>
  <c r="W594" i="6"/>
  <c r="W603" i="6"/>
  <c r="W597" i="6"/>
  <c r="W589" i="6"/>
  <c r="V559" i="6"/>
  <c r="V542" i="6"/>
  <c r="W522" i="6"/>
  <c r="V486" i="6"/>
  <c r="W367" i="6"/>
  <c r="V349" i="6"/>
  <c r="V331" i="6"/>
  <c r="V322" i="6"/>
  <c r="W312" i="6"/>
  <c r="W303" i="6"/>
  <c r="W294" i="6"/>
  <c r="W174" i="6"/>
  <c r="V134" i="6"/>
  <c r="W29" i="6"/>
  <c r="AG119" i="6"/>
  <c r="AZ119" i="6" s="1"/>
  <c r="AL119" i="6"/>
  <c r="AG112" i="6"/>
  <c r="AL112" i="6"/>
  <c r="AG106" i="6"/>
  <c r="AL106" i="6"/>
  <c r="AI104" i="6"/>
  <c r="AM104" i="6"/>
  <c r="BA681" i="6"/>
  <c r="BA594" i="6"/>
  <c r="AZ608" i="6"/>
  <c r="AZ527" i="6"/>
  <c r="AZ521" i="6"/>
  <c r="AZ495" i="6"/>
  <c r="Q480" i="6"/>
  <c r="AZ480" i="6" s="1"/>
  <c r="V480" i="6"/>
  <c r="S460" i="6"/>
  <c r="BA460" i="6" s="1"/>
  <c r="W460" i="6"/>
  <c r="Q341" i="6"/>
  <c r="AZ341" i="6" s="1"/>
  <c r="V341" i="6"/>
  <c r="Q280" i="6"/>
  <c r="AZ280" i="6" s="1"/>
  <c r="V280" i="6"/>
  <c r="Q226" i="6"/>
  <c r="AZ226" i="6" s="1"/>
  <c r="V226" i="6"/>
  <c r="Q190" i="6"/>
  <c r="AZ190" i="6" s="1"/>
  <c r="V190" i="6"/>
  <c r="S184" i="6"/>
  <c r="BA184" i="6" s="1"/>
  <c r="W184" i="6"/>
  <c r="Q129" i="6"/>
  <c r="AZ129" i="6" s="1"/>
  <c r="V129" i="6"/>
  <c r="Q109" i="6"/>
  <c r="AZ109" i="6" s="1"/>
  <c r="V109" i="6"/>
  <c r="Q71" i="6"/>
  <c r="AZ71" i="6" s="1"/>
  <c r="V71" i="6"/>
  <c r="S48" i="6"/>
  <c r="BA48" i="6" s="1"/>
  <c r="W48" i="6"/>
  <c r="V685" i="6"/>
  <c r="V649" i="6"/>
  <c r="V588" i="6"/>
  <c r="V149" i="6"/>
  <c r="AG100" i="6"/>
  <c r="AL100" i="6"/>
  <c r="S692" i="6"/>
  <c r="BA692" i="6" s="1"/>
  <c r="W692" i="6"/>
  <c r="S683" i="6"/>
  <c r="BA683" i="6" s="1"/>
  <c r="W683" i="6"/>
  <c r="S640" i="6"/>
  <c r="BA640" i="6" s="1"/>
  <c r="W640" i="6"/>
  <c r="AZ680" i="6"/>
  <c r="Q584" i="6"/>
  <c r="AZ584" i="6" s="1"/>
  <c r="V584" i="6"/>
  <c r="Q557" i="6"/>
  <c r="AZ557" i="6" s="1"/>
  <c r="V557" i="6"/>
  <c r="S477" i="6"/>
  <c r="BA477" i="6" s="1"/>
  <c r="W477" i="6"/>
  <c r="S304" i="6"/>
  <c r="BA304" i="6" s="1"/>
  <c r="W304" i="6"/>
  <c r="Q272" i="6"/>
  <c r="AZ272" i="6" s="1"/>
  <c r="V272" i="6"/>
  <c r="S220" i="6"/>
  <c r="BA220" i="6" s="1"/>
  <c r="W220" i="6"/>
  <c r="V203" i="6"/>
  <c r="Q203" i="6"/>
  <c r="AZ203" i="6" s="1"/>
  <c r="Q180" i="6"/>
  <c r="AZ180" i="6" s="1"/>
  <c r="V180" i="6"/>
  <c r="Q141" i="6"/>
  <c r="AZ141" i="6" s="1"/>
  <c r="V141" i="6"/>
  <c r="S92" i="6"/>
  <c r="BA92" i="6" s="1"/>
  <c r="W92" i="6"/>
  <c r="Q89" i="6"/>
  <c r="AZ89" i="6" s="1"/>
  <c r="V89" i="6"/>
  <c r="Q73" i="6"/>
  <c r="AZ73" i="6" s="1"/>
  <c r="V73" i="6"/>
  <c r="S57" i="6"/>
  <c r="BA57" i="6" s="1"/>
  <c r="W57" i="6"/>
  <c r="Q34" i="6"/>
  <c r="AZ34" i="6" s="1"/>
  <c r="V34" i="6"/>
  <c r="V99" i="6"/>
  <c r="V680" i="6"/>
  <c r="V654" i="6"/>
  <c r="V645" i="6"/>
  <c r="V629" i="6"/>
  <c r="V613" i="6"/>
  <c r="V600" i="6"/>
  <c r="W343" i="6"/>
  <c r="V325" i="6"/>
  <c r="W175" i="6"/>
  <c r="AI101" i="6"/>
  <c r="AM101" i="6"/>
  <c r="AZ656" i="6"/>
  <c r="AZ416" i="6"/>
  <c r="S688" i="6"/>
  <c r="BA688" i="6" s="1"/>
  <c r="W688" i="6"/>
  <c r="S671" i="6"/>
  <c r="BA671" i="6" s="1"/>
  <c r="S652" i="6"/>
  <c r="BA652" i="6" s="1"/>
  <c r="W652" i="6"/>
  <c r="S636" i="6"/>
  <c r="BA636" i="6" s="1"/>
  <c r="W636" i="6"/>
  <c r="S605" i="6"/>
  <c r="BA605" i="6" s="1"/>
  <c r="W605" i="6"/>
  <c r="S599" i="6"/>
  <c r="BA599" i="6" s="1"/>
  <c r="W599" i="6"/>
  <c r="S583" i="6"/>
  <c r="BA583" i="6" s="1"/>
  <c r="W583" i="6"/>
  <c r="S573" i="6"/>
  <c r="BA573" i="6" s="1"/>
  <c r="W573" i="6"/>
  <c r="S556" i="6"/>
  <c r="BA556" i="6" s="1"/>
  <c r="W556" i="6"/>
  <c r="S540" i="6"/>
  <c r="BA540" i="6" s="1"/>
  <c r="W540" i="6"/>
  <c r="S524" i="6"/>
  <c r="BA524" i="6" s="1"/>
  <c r="W524" i="6"/>
  <c r="S516" i="6"/>
  <c r="BA516" i="6" s="1"/>
  <c r="W516" i="6"/>
  <c r="S478" i="6"/>
  <c r="BA478" i="6" s="1"/>
  <c r="W478" i="6"/>
  <c r="Q456" i="6"/>
  <c r="AZ456" i="6" s="1"/>
  <c r="V456" i="6"/>
  <c r="V449" i="6"/>
  <c r="Q449" i="6"/>
  <c r="AZ449" i="6" s="1"/>
  <c r="Q438" i="6"/>
  <c r="AZ438" i="6" s="1"/>
  <c r="V438" i="6"/>
  <c r="S385" i="6"/>
  <c r="BA385" i="6" s="1"/>
  <c r="W385" i="6"/>
  <c r="Q359" i="6"/>
  <c r="AZ359" i="6" s="1"/>
  <c r="V359" i="6"/>
  <c r="S353" i="6"/>
  <c r="BA353" i="6" s="1"/>
  <c r="W353" i="6"/>
  <c r="S333" i="6"/>
  <c r="BA333" i="6" s="1"/>
  <c r="W333" i="6"/>
  <c r="S327" i="6"/>
  <c r="BA327" i="6" s="1"/>
  <c r="W327" i="6"/>
  <c r="Q304" i="6"/>
  <c r="AZ304" i="6" s="1"/>
  <c r="V304" i="6"/>
  <c r="V297" i="6"/>
  <c r="Q297" i="6"/>
  <c r="AZ297" i="6" s="1"/>
  <c r="S287" i="6"/>
  <c r="BA287" i="6" s="1"/>
  <c r="W287" i="6"/>
  <c r="Q200" i="6"/>
  <c r="AZ200" i="6" s="1"/>
  <c r="V200" i="6"/>
  <c r="S161" i="6"/>
  <c r="BA161" i="6" s="1"/>
  <c r="W161" i="6"/>
  <c r="Q136" i="6"/>
  <c r="AZ136" i="6" s="1"/>
  <c r="V136" i="6"/>
  <c r="Q121" i="6"/>
  <c r="V121" i="6"/>
  <c r="S101" i="6"/>
  <c r="W101" i="6"/>
  <c r="Q92" i="6"/>
  <c r="AZ92" i="6" s="1"/>
  <c r="V92" i="6"/>
  <c r="Q40" i="6"/>
  <c r="AZ40" i="6" s="1"/>
  <c r="V40" i="6"/>
  <c r="Q36" i="6"/>
  <c r="AZ36" i="6" s="1"/>
  <c r="V36" i="6"/>
  <c r="S18" i="6"/>
  <c r="BA18" i="6" s="1"/>
  <c r="W18" i="6"/>
  <c r="V687" i="6"/>
  <c r="V651" i="6"/>
  <c r="V635" i="6"/>
  <c r="V604" i="6"/>
  <c r="V590" i="6"/>
  <c r="V570" i="6"/>
  <c r="V477" i="6"/>
  <c r="AG97" i="6"/>
  <c r="AL97" i="6"/>
  <c r="AZ404" i="6"/>
  <c r="S575" i="6"/>
  <c r="BA575" i="6" s="1"/>
  <c r="W575" i="6"/>
  <c r="S543" i="6"/>
  <c r="BA543" i="6" s="1"/>
  <c r="W543" i="6"/>
  <c r="S481" i="6"/>
  <c r="BA481" i="6" s="1"/>
  <c r="W481" i="6"/>
  <c r="S480" i="6"/>
  <c r="BA480" i="6" s="1"/>
  <c r="W480" i="6"/>
  <c r="Q461" i="6"/>
  <c r="AZ461" i="6" s="1"/>
  <c r="V461" i="6"/>
  <c r="Q458" i="6"/>
  <c r="AZ458" i="6" s="1"/>
  <c r="V458" i="6"/>
  <c r="Q453" i="6"/>
  <c r="AZ453" i="6" s="1"/>
  <c r="V453" i="6"/>
  <c r="Q443" i="6"/>
  <c r="AZ443" i="6" s="1"/>
  <c r="S434" i="6"/>
  <c r="BA434" i="6" s="1"/>
  <c r="W434" i="6"/>
  <c r="S381" i="6"/>
  <c r="BA381" i="6" s="1"/>
  <c r="W381" i="6"/>
  <c r="S378" i="6"/>
  <c r="BA378" i="6" s="1"/>
  <c r="Q374" i="6"/>
  <c r="AZ374" i="6" s="1"/>
  <c r="V374" i="6"/>
  <c r="Q361" i="6"/>
  <c r="AZ361" i="6" s="1"/>
  <c r="V361" i="6"/>
  <c r="Q350" i="6"/>
  <c r="AZ350" i="6" s="1"/>
  <c r="S341" i="6"/>
  <c r="BA341" i="6" s="1"/>
  <c r="W341" i="6"/>
  <c r="S338" i="6"/>
  <c r="BA338" i="6" s="1"/>
  <c r="S332" i="6"/>
  <c r="BA332" i="6" s="1"/>
  <c r="S329" i="6"/>
  <c r="BA329" i="6" s="1"/>
  <c r="W329" i="6"/>
  <c r="AZ324" i="6"/>
  <c r="Q296" i="6"/>
  <c r="AZ296" i="6" s="1"/>
  <c r="V296" i="6"/>
  <c r="Q274" i="6"/>
  <c r="AZ274" i="6" s="1"/>
  <c r="V274" i="6"/>
  <c r="S226" i="6"/>
  <c r="BA226" i="6" s="1"/>
  <c r="W226" i="6"/>
  <c r="Q199" i="6"/>
  <c r="AZ199" i="6" s="1"/>
  <c r="V199" i="6"/>
  <c r="V174" i="6"/>
  <c r="Q174" i="6"/>
  <c r="AZ174" i="6" s="1"/>
  <c r="S154" i="6"/>
  <c r="BA154" i="6" s="1"/>
  <c r="Q125" i="6"/>
  <c r="AZ125" i="6" s="1"/>
  <c r="V125" i="6"/>
  <c r="S116" i="6"/>
  <c r="BA116" i="6" s="1"/>
  <c r="W116" i="6"/>
  <c r="S112" i="6"/>
  <c r="BA112" i="6" s="1"/>
  <c r="S109" i="6"/>
  <c r="W109" i="6"/>
  <c r="W71" i="6"/>
  <c r="S71" i="6"/>
  <c r="BA71" i="6" s="1"/>
  <c r="Q64" i="6"/>
  <c r="AZ64" i="6" s="1"/>
  <c r="V64" i="6"/>
  <c r="W61" i="6"/>
  <c r="S61" i="6"/>
  <c r="BA61" i="6" s="1"/>
  <c r="Q49" i="6"/>
  <c r="AZ49" i="6" s="1"/>
  <c r="V49" i="6"/>
  <c r="S25" i="6"/>
  <c r="BA25" i="6" s="1"/>
  <c r="V578" i="6"/>
  <c r="W558" i="6"/>
  <c r="V531" i="6"/>
  <c r="W474" i="6"/>
  <c r="V464" i="6"/>
  <c r="V450" i="6"/>
  <c r="V385" i="6"/>
  <c r="V367" i="6"/>
  <c r="W348" i="6"/>
  <c r="W339" i="6"/>
  <c r="V321" i="6"/>
  <c r="V303" i="6"/>
  <c r="V223" i="6"/>
  <c r="W212" i="6"/>
  <c r="W193" i="6"/>
  <c r="W191" i="6"/>
  <c r="V138" i="6"/>
  <c r="V110" i="6"/>
  <c r="W28" i="6"/>
  <c r="V25" i="6"/>
  <c r="AZ570" i="6"/>
  <c r="BA567" i="6"/>
  <c r="AZ564" i="6"/>
  <c r="BA398" i="6"/>
  <c r="AZ392" i="6"/>
  <c r="AZ444" i="6"/>
  <c r="AZ405" i="6"/>
  <c r="BA400" i="6"/>
  <c r="S365" i="6"/>
  <c r="BA365" i="6" s="1"/>
  <c r="W365" i="6"/>
  <c r="S337" i="6"/>
  <c r="BA337" i="6" s="1"/>
  <c r="W337" i="6"/>
  <c r="Q235" i="6"/>
  <c r="AZ235" i="6" s="1"/>
  <c r="V235" i="6"/>
  <c r="Q206" i="6"/>
  <c r="AZ206" i="6" s="1"/>
  <c r="V206" i="6"/>
  <c r="Q189" i="6"/>
  <c r="AZ189" i="6" s="1"/>
  <c r="V189" i="6"/>
  <c r="Q186" i="6"/>
  <c r="AZ186" i="6" s="1"/>
  <c r="V186" i="6"/>
  <c r="Q159" i="6"/>
  <c r="AZ159" i="6" s="1"/>
  <c r="V159" i="6"/>
  <c r="Q146" i="6"/>
  <c r="AZ146" i="6" s="1"/>
  <c r="V146" i="6"/>
  <c r="S121" i="6"/>
  <c r="W121" i="6"/>
  <c r="Q88" i="6"/>
  <c r="AZ88" i="6" s="1"/>
  <c r="V88" i="6"/>
  <c r="Q85" i="6"/>
  <c r="AZ85" i="6" s="1"/>
  <c r="V85" i="6"/>
  <c r="Q76" i="6"/>
  <c r="AZ76" i="6" s="1"/>
  <c r="V76" i="6"/>
  <c r="Q56" i="6"/>
  <c r="AZ56" i="6" s="1"/>
  <c r="V56" i="6"/>
  <c r="Q57" i="6"/>
  <c r="AZ57" i="6" s="1"/>
  <c r="V57" i="6"/>
  <c r="Q39" i="6"/>
  <c r="AZ39" i="6" s="1"/>
  <c r="V39" i="6"/>
  <c r="Q31" i="6"/>
  <c r="AZ31" i="6" s="1"/>
  <c r="V31" i="6"/>
  <c r="Q20" i="6"/>
  <c r="AZ20" i="6" s="1"/>
  <c r="V20" i="6"/>
  <c r="Q12" i="6"/>
  <c r="AZ12" i="6" s="1"/>
  <c r="V12" i="6"/>
  <c r="V444" i="6"/>
  <c r="W379" i="6"/>
  <c r="V343" i="6"/>
  <c r="V329" i="6"/>
  <c r="W210" i="6"/>
  <c r="V205" i="6"/>
  <c r="W167" i="6"/>
  <c r="W155" i="6"/>
  <c r="V145" i="6"/>
  <c r="V131" i="6"/>
  <c r="W65" i="6"/>
  <c r="V42" i="6"/>
  <c r="BA642" i="6"/>
  <c r="AZ498" i="6"/>
  <c r="AZ432" i="6"/>
  <c r="AZ249" i="6"/>
  <c r="Q214" i="6"/>
  <c r="AZ214" i="6" s="1"/>
  <c r="V214" i="6"/>
  <c r="S194" i="6"/>
  <c r="BA194" i="6" s="1"/>
  <c r="AZ188" i="6"/>
  <c r="S176" i="6"/>
  <c r="BA176" i="6" s="1"/>
  <c r="Q153" i="6"/>
  <c r="AZ153" i="6" s="1"/>
  <c r="V153" i="6"/>
  <c r="Q152" i="6"/>
  <c r="AZ152" i="6" s="1"/>
  <c r="V152" i="6"/>
  <c r="Q118" i="6"/>
  <c r="V118" i="6"/>
  <c r="S107" i="6"/>
  <c r="BA107" i="6" s="1"/>
  <c r="W107" i="6"/>
  <c r="Q105" i="6"/>
  <c r="AZ105" i="6" s="1"/>
  <c r="V105" i="6"/>
  <c r="S90" i="6"/>
  <c r="BA90" i="6" s="1"/>
  <c r="S67" i="6"/>
  <c r="BA67" i="6" s="1"/>
  <c r="S63" i="6"/>
  <c r="BA63" i="6" s="1"/>
  <c r="S52" i="6"/>
  <c r="BA52" i="6" s="1"/>
  <c r="Q50" i="6"/>
  <c r="AZ50" i="6" s="1"/>
  <c r="V50" i="6"/>
  <c r="Q44" i="6"/>
  <c r="AZ44" i="6" s="1"/>
  <c r="V44" i="6"/>
  <c r="Q33" i="6"/>
  <c r="AZ33" i="6" s="1"/>
  <c r="V33" i="6"/>
  <c r="S26" i="6"/>
  <c r="BA26" i="6" s="1"/>
  <c r="S16" i="6"/>
  <c r="BA16" i="6" s="1"/>
  <c r="W224" i="6"/>
  <c r="V188" i="6"/>
  <c r="W182" i="6"/>
  <c r="V139" i="6"/>
  <c r="V55" i="6"/>
  <c r="V47" i="6"/>
  <c r="W40" i="6"/>
  <c r="V24" i="6"/>
  <c r="AZ580" i="6"/>
  <c r="AZ450" i="6"/>
  <c r="S231" i="6"/>
  <c r="BA231" i="6" s="1"/>
  <c r="W231" i="6"/>
  <c r="Q222" i="6"/>
  <c r="AZ222" i="6" s="1"/>
  <c r="V222" i="6"/>
  <c r="S216" i="6"/>
  <c r="BA216" i="6" s="1"/>
  <c r="W216" i="6"/>
  <c r="Q202" i="6"/>
  <c r="AZ202" i="6" s="1"/>
  <c r="V202" i="6"/>
  <c r="Q164" i="6"/>
  <c r="AZ164" i="6" s="1"/>
  <c r="V164" i="6"/>
  <c r="Q158" i="6"/>
  <c r="AZ158" i="6" s="1"/>
  <c r="V158" i="6"/>
  <c r="AZ140" i="6"/>
  <c r="Q124" i="6"/>
  <c r="AZ124" i="6" s="1"/>
  <c r="V124" i="6"/>
  <c r="S113" i="6"/>
  <c r="W113" i="6"/>
  <c r="Q107" i="6"/>
  <c r="AZ107" i="6" s="1"/>
  <c r="V107" i="6"/>
  <c r="Q84" i="6"/>
  <c r="AZ84" i="6" s="1"/>
  <c r="V84" i="6"/>
  <c r="Q80" i="6"/>
  <c r="AZ80" i="6" s="1"/>
  <c r="V80" i="6"/>
  <c r="Q72" i="6"/>
  <c r="AZ72" i="6" s="1"/>
  <c r="V72" i="6"/>
  <c r="Q59" i="6"/>
  <c r="AZ59" i="6" s="1"/>
  <c r="V59" i="6"/>
  <c r="Q41" i="6"/>
  <c r="AZ41" i="6" s="1"/>
  <c r="V41" i="6"/>
  <c r="Q30" i="6"/>
  <c r="AZ30" i="6" s="1"/>
  <c r="V30" i="6"/>
  <c r="AZ19" i="6"/>
  <c r="W438" i="6"/>
  <c r="V346" i="6"/>
  <c r="V309" i="6"/>
  <c r="V291" i="6"/>
  <c r="V171" i="6"/>
  <c r="W165" i="6"/>
  <c r="V115" i="6"/>
  <c r="W108" i="6"/>
  <c r="V103" i="6"/>
  <c r="V75" i="6"/>
  <c r="V69" i="6"/>
  <c r="V61" i="6"/>
  <c r="W46" i="6"/>
  <c r="W35" i="6"/>
  <c r="AZ691" i="6"/>
  <c r="AZ621" i="6"/>
  <c r="BA614" i="6"/>
  <c r="AZ611" i="6"/>
  <c r="BA316" i="6"/>
  <c r="Q231" i="6"/>
  <c r="AZ231" i="6" s="1"/>
  <c r="V231" i="6"/>
  <c r="Q210" i="6"/>
  <c r="AZ210" i="6" s="1"/>
  <c r="V210" i="6"/>
  <c r="Q182" i="6"/>
  <c r="AZ182" i="6" s="1"/>
  <c r="V182" i="6"/>
  <c r="Q176" i="6"/>
  <c r="AZ176" i="6" s="1"/>
  <c r="V176" i="6"/>
  <c r="Q173" i="6"/>
  <c r="AZ173" i="6" s="1"/>
  <c r="V173" i="6"/>
  <c r="Q167" i="6"/>
  <c r="AZ167" i="6" s="1"/>
  <c r="V167" i="6"/>
  <c r="S163" i="6"/>
  <c r="BA163" i="6" s="1"/>
  <c r="W163" i="6"/>
  <c r="Q143" i="6"/>
  <c r="AZ143" i="6" s="1"/>
  <c r="V143" i="6"/>
  <c r="Q137" i="6"/>
  <c r="AZ137" i="6" s="1"/>
  <c r="V137" i="6"/>
  <c r="Q127" i="6"/>
  <c r="AZ127" i="6" s="1"/>
  <c r="V127" i="6"/>
  <c r="Q120" i="6"/>
  <c r="V120" i="6"/>
  <c r="Q117" i="6"/>
  <c r="V117" i="6"/>
  <c r="Q102" i="6"/>
  <c r="AZ102" i="6" s="1"/>
  <c r="V102" i="6"/>
  <c r="Q90" i="6"/>
  <c r="AZ90" i="6" s="1"/>
  <c r="V90" i="6"/>
  <c r="Q52" i="6"/>
  <c r="AZ52" i="6" s="1"/>
  <c r="V52" i="6"/>
  <c r="Q27" i="6"/>
  <c r="AZ27" i="6" s="1"/>
  <c r="V27" i="6"/>
  <c r="Q35" i="6"/>
  <c r="AZ35" i="6" s="1"/>
  <c r="V35" i="6"/>
  <c r="Q26" i="6"/>
  <c r="AZ26" i="6" s="1"/>
  <c r="V26" i="6"/>
  <c r="Q16" i="6"/>
  <c r="AZ16" i="6" s="1"/>
  <c r="V16" i="6"/>
  <c r="Q8" i="6"/>
  <c r="AZ8" i="6" s="1"/>
  <c r="V8" i="6"/>
  <c r="V318" i="6"/>
  <c r="V285" i="6"/>
  <c r="W228" i="6"/>
  <c r="V208" i="6"/>
  <c r="W202" i="6"/>
  <c r="V198" i="6"/>
  <c r="W170" i="6"/>
  <c r="V135" i="6"/>
  <c r="W106" i="6"/>
  <c r="W102" i="6"/>
  <c r="V46" i="6"/>
  <c r="V38" i="6"/>
  <c r="BA690" i="6"/>
  <c r="BA518" i="6"/>
  <c r="AZ346" i="6"/>
  <c r="AI121" i="6"/>
  <c r="AM121" i="6"/>
  <c r="AI111" i="6"/>
  <c r="AM111" i="6"/>
  <c r="AI98" i="6"/>
  <c r="AM98" i="6"/>
  <c r="AG104" i="6"/>
  <c r="AZ104" i="6" s="1"/>
  <c r="AL104" i="6"/>
  <c r="BA663" i="6"/>
  <c r="AZ619" i="6"/>
  <c r="BA488" i="6"/>
  <c r="AZ445" i="6"/>
  <c r="AZ422" i="6"/>
  <c r="AZ410" i="6"/>
  <c r="AZ171" i="6"/>
  <c r="AG94" i="6"/>
  <c r="AG103" i="6"/>
  <c r="AZ103" i="6" s="1"/>
  <c r="AL103" i="6"/>
  <c r="AZ661" i="6"/>
  <c r="AZ651" i="6"/>
  <c r="AZ645" i="6"/>
  <c r="AZ633" i="6"/>
  <c r="AZ623" i="6"/>
  <c r="AZ618" i="6"/>
  <c r="BA558" i="6"/>
  <c r="BA534" i="6"/>
  <c r="AZ486" i="6"/>
  <c r="BA465" i="6"/>
  <c r="AZ463" i="6"/>
  <c r="AZ409" i="6"/>
  <c r="BA379" i="6"/>
  <c r="AG117" i="6"/>
  <c r="AL117" i="6"/>
  <c r="AG108" i="6"/>
  <c r="AL108" i="6"/>
  <c r="BA660" i="6"/>
  <c r="BA630" i="6"/>
  <c r="BA511" i="6"/>
  <c r="AZ503" i="6"/>
  <c r="AZ430" i="6"/>
  <c r="AG120" i="6"/>
  <c r="AL120" i="6"/>
  <c r="AZ682" i="6"/>
  <c r="AZ653" i="6"/>
  <c r="BA638" i="6"/>
  <c r="BA574" i="6"/>
  <c r="AZ511" i="6"/>
  <c r="AZ493" i="6"/>
  <c r="BA416" i="6"/>
  <c r="BA377" i="6"/>
  <c r="BA371" i="6"/>
  <c r="BA343" i="6"/>
  <c r="AZ333" i="6"/>
  <c r="AZ318" i="6"/>
  <c r="BA311" i="6"/>
  <c r="AZ299" i="6"/>
  <c r="AI117" i="6"/>
  <c r="BA117" i="6" s="1"/>
  <c r="AM117" i="6"/>
  <c r="AI103" i="6"/>
  <c r="AM103" i="6"/>
  <c r="AM112" i="6"/>
  <c r="AZ664" i="6"/>
  <c r="AZ578" i="6"/>
  <c r="AZ412" i="6"/>
  <c r="BA352" i="6"/>
  <c r="BA251" i="6"/>
  <c r="AZ240" i="6"/>
  <c r="AI113" i="6"/>
  <c r="AM113" i="6"/>
  <c r="AM120" i="6"/>
  <c r="AL116" i="6"/>
  <c r="AL107" i="6"/>
  <c r="AZ687" i="6"/>
  <c r="AZ678" i="6"/>
  <c r="AZ639" i="6"/>
  <c r="BA634" i="6"/>
  <c r="AZ602" i="6"/>
  <c r="BA597" i="6"/>
  <c r="BA472" i="6"/>
  <c r="AZ441" i="6"/>
  <c r="AZ436" i="6"/>
  <c r="BA420" i="6"/>
  <c r="BA418" i="6"/>
  <c r="AZ406" i="6"/>
  <c r="AZ216" i="6"/>
  <c r="AM115" i="6"/>
  <c r="BA686" i="6"/>
  <c r="BA677" i="6"/>
  <c r="AZ675" i="6"/>
  <c r="BA655" i="6"/>
  <c r="AZ613" i="6"/>
  <c r="BA579" i="6"/>
  <c r="BA576" i="6"/>
  <c r="BA550" i="6"/>
  <c r="BA547" i="6"/>
  <c r="BA522" i="6"/>
  <c r="BA512" i="6"/>
  <c r="BA499" i="6"/>
  <c r="BA496" i="6"/>
  <c r="AZ494" i="6"/>
  <c r="BA474" i="6"/>
  <c r="BA470" i="6"/>
  <c r="BA458" i="6"/>
  <c r="AZ448" i="6"/>
  <c r="AZ426" i="6"/>
  <c r="BA408" i="6"/>
  <c r="BA264" i="6"/>
  <c r="AI109" i="6"/>
  <c r="AM109" i="6"/>
  <c r="AZ641" i="6"/>
  <c r="AZ509" i="6"/>
  <c r="AZ505" i="6"/>
  <c r="AZ489" i="6"/>
  <c r="AZ487" i="6"/>
  <c r="AZ466" i="6"/>
  <c r="BA463" i="6"/>
  <c r="AZ420" i="6"/>
  <c r="BA417" i="6"/>
  <c r="BA276" i="6"/>
  <c r="BA175" i="6"/>
  <c r="AZ162" i="6"/>
  <c r="AZ674" i="6"/>
  <c r="AZ647" i="6"/>
  <c r="AZ615" i="6"/>
  <c r="BA498" i="6"/>
  <c r="BA425" i="6"/>
  <c r="BA422" i="6"/>
  <c r="AZ389" i="6"/>
  <c r="AZ395" i="6"/>
  <c r="BA339" i="6"/>
  <c r="BA289" i="6"/>
  <c r="BA164" i="6"/>
  <c r="BA8" i="6"/>
  <c r="BA607" i="6"/>
  <c r="AZ588" i="6"/>
  <c r="BA510" i="6"/>
  <c r="BA508" i="6"/>
  <c r="BA506" i="6"/>
  <c r="BA500" i="6"/>
  <c r="AZ471" i="6"/>
  <c r="AZ457" i="6"/>
  <c r="AZ455" i="6"/>
  <c r="BA433" i="6"/>
  <c r="BA429" i="6"/>
  <c r="BA424" i="6"/>
  <c r="AZ401" i="6"/>
  <c r="AZ387" i="6"/>
  <c r="AZ344" i="6"/>
  <c r="AZ329" i="6"/>
  <c r="AZ294" i="6"/>
  <c r="BA284" i="6"/>
  <c r="BA278" i="6"/>
  <c r="AZ247" i="6"/>
  <c r="BA243" i="6"/>
  <c r="BA77" i="6"/>
  <c r="AZ617" i="6"/>
  <c r="AZ590" i="6"/>
  <c r="AZ559" i="6"/>
  <c r="AZ531" i="6"/>
  <c r="AZ513" i="6"/>
  <c r="BA494" i="6"/>
  <c r="BA490" i="6"/>
  <c r="AZ462" i="6"/>
  <c r="AZ424" i="6"/>
  <c r="BA419" i="6"/>
  <c r="AZ417" i="6"/>
  <c r="AZ428" i="6"/>
  <c r="BA386" i="6"/>
  <c r="AZ365" i="6"/>
  <c r="BA362" i="6"/>
  <c r="BA268" i="6"/>
  <c r="AZ114" i="6"/>
  <c r="BA28" i="6"/>
  <c r="AZ510" i="6"/>
  <c r="AZ506" i="6"/>
  <c r="AZ497" i="6"/>
  <c r="AZ490" i="6"/>
  <c r="AZ464" i="6"/>
  <c r="AZ447" i="6"/>
  <c r="BA412" i="6"/>
  <c r="AZ402" i="6"/>
  <c r="BA397" i="6"/>
  <c r="BA393" i="6"/>
  <c r="AZ386" i="6"/>
  <c r="AZ260" i="6"/>
  <c r="AZ246" i="6"/>
  <c r="BA195" i="6"/>
  <c r="AZ169" i="6"/>
  <c r="BA504" i="6"/>
  <c r="AZ502" i="6"/>
  <c r="BA495" i="6"/>
  <c r="AZ479" i="6"/>
  <c r="AZ467" i="6"/>
  <c r="AZ469" i="6"/>
  <c r="BA432" i="6"/>
  <c r="AZ418" i="6"/>
  <c r="BA414" i="6"/>
  <c r="BA411" i="6"/>
  <c r="BA409" i="6"/>
  <c r="BA404" i="6"/>
  <c r="AZ398" i="6"/>
  <c r="BA428" i="6"/>
  <c r="BA387" i="6"/>
  <c r="AZ379" i="6"/>
  <c r="AZ371" i="6"/>
  <c r="BA320" i="6"/>
  <c r="BA246" i="6"/>
  <c r="BA190" i="6"/>
  <c r="AZ110" i="6"/>
  <c r="AZ367" i="6"/>
  <c r="AZ354" i="6"/>
  <c r="AZ348" i="6"/>
  <c r="BA319" i="6"/>
  <c r="BA312" i="6"/>
  <c r="AZ284" i="6"/>
  <c r="BA280" i="6"/>
  <c r="AZ275" i="6"/>
  <c r="AZ225" i="6"/>
  <c r="BA202" i="6"/>
  <c r="AZ155" i="6"/>
  <c r="AZ63" i="6"/>
  <c r="AZ58" i="6"/>
  <c r="BA47" i="6"/>
  <c r="BA492" i="6"/>
  <c r="BA423" i="6"/>
  <c r="AZ421" i="6"/>
  <c r="AZ419" i="6"/>
  <c r="BA415" i="6"/>
  <c r="AZ413" i="6"/>
  <c r="AZ408" i="6"/>
  <c r="BA405" i="6"/>
  <c r="AZ388" i="6"/>
  <c r="BA383" i="6"/>
  <c r="AZ331" i="6"/>
  <c r="AZ67" i="6"/>
  <c r="AZ24" i="6"/>
  <c r="BA427" i="6"/>
  <c r="BA401" i="6"/>
  <c r="AZ399" i="6"/>
  <c r="BA392" i="6"/>
  <c r="BA366" i="6"/>
  <c r="AZ353" i="6"/>
  <c r="AZ325" i="6"/>
  <c r="AZ315" i="6"/>
  <c r="BA271" i="6"/>
  <c r="BA263" i="6"/>
  <c r="BA236" i="6"/>
  <c r="BA227" i="6"/>
  <c r="BA93" i="6"/>
  <c r="BA66" i="6"/>
  <c r="BA46" i="6"/>
  <c r="BA40" i="6"/>
  <c r="BA544" i="6"/>
  <c r="AZ542" i="6"/>
  <c r="BA502" i="6"/>
  <c r="AZ475" i="6"/>
  <c r="AZ431" i="6"/>
  <c r="BA410" i="6"/>
  <c r="AZ400" i="6"/>
  <c r="AZ394" i="6"/>
  <c r="AZ321" i="6"/>
  <c r="BA310" i="6"/>
  <c r="AZ306" i="6"/>
  <c r="BA303" i="6"/>
  <c r="AZ301" i="6"/>
  <c r="BA283" i="6"/>
  <c r="BA275" i="6"/>
  <c r="BA253" i="6"/>
  <c r="BA224" i="6"/>
  <c r="BA169" i="6"/>
  <c r="AZ161" i="6"/>
  <c r="AZ46" i="6"/>
  <c r="BA27" i="6"/>
  <c r="AZ403" i="6"/>
  <c r="AZ391" i="6"/>
  <c r="AZ362" i="6"/>
  <c r="AZ356" i="6"/>
  <c r="AZ349" i="6"/>
  <c r="AZ298" i="6"/>
  <c r="BA267" i="6"/>
  <c r="AZ262" i="6"/>
  <c r="AZ258" i="6"/>
  <c r="AZ248" i="6"/>
  <c r="AZ211" i="6"/>
  <c r="AZ163" i="6"/>
  <c r="AZ135" i="6"/>
  <c r="AZ131" i="6"/>
  <c r="BA83" i="6"/>
  <c r="BA65" i="6"/>
  <c r="AZ370" i="6"/>
  <c r="AZ330" i="6"/>
  <c r="AZ317" i="6"/>
  <c r="BA282" i="6"/>
  <c r="BA259" i="6"/>
  <c r="BA244" i="6"/>
  <c r="BA238" i="6"/>
  <c r="AZ227" i="6"/>
  <c r="AZ148" i="6"/>
  <c r="BA79" i="6"/>
  <c r="AZ74" i="6"/>
  <c r="AZ32" i="6"/>
  <c r="AZ309" i="6"/>
  <c r="BA285" i="6"/>
  <c r="BA279" i="6"/>
  <c r="AZ269" i="6"/>
  <c r="BA266" i="6"/>
  <c r="AZ264" i="6"/>
  <c r="BA261" i="6"/>
  <c r="AZ257" i="6"/>
  <c r="BA239" i="6"/>
  <c r="AZ205" i="6"/>
  <c r="BA191" i="6"/>
  <c r="BA188" i="6"/>
  <c r="BA156" i="6"/>
  <c r="AZ139" i="6"/>
  <c r="AZ150" i="6"/>
  <c r="AZ86" i="6"/>
  <c r="BA82" i="6"/>
  <c r="AZ322" i="6"/>
  <c r="AZ312" i="6"/>
  <c r="BA281" i="6"/>
  <c r="AZ277" i="6"/>
  <c r="BA272" i="6"/>
  <c r="AZ266" i="6"/>
  <c r="AZ259" i="6"/>
  <c r="BA257" i="6"/>
  <c r="AZ232" i="6"/>
  <c r="AZ198" i="6"/>
  <c r="BA182" i="6"/>
  <c r="AZ134" i="6"/>
  <c r="BA108" i="6"/>
  <c r="BA102" i="6"/>
  <c r="AZ70" i="6"/>
  <c r="BA31" i="6"/>
  <c r="BA29" i="6"/>
  <c r="AZ270" i="6"/>
  <c r="BA265" i="6"/>
  <c r="BA250" i="6"/>
  <c r="BA256" i="6"/>
  <c r="AZ255" i="6"/>
  <c r="AZ252" i="6"/>
  <c r="AZ243" i="6"/>
  <c r="BA241" i="6"/>
  <c r="AZ238" i="6"/>
  <c r="BA233" i="6"/>
  <c r="BA193" i="6"/>
  <c r="BA197" i="6"/>
  <c r="AZ179" i="6"/>
  <c r="BA174" i="6"/>
  <c r="AZ170" i="6"/>
  <c r="BA167" i="6"/>
  <c r="BA150" i="6"/>
  <c r="AZ149" i="6"/>
  <c r="AZ133" i="6"/>
  <c r="AZ98" i="6"/>
  <c r="BA80" i="6"/>
  <c r="AZ69" i="6"/>
  <c r="BA35" i="6"/>
  <c r="BA14" i="6"/>
  <c r="AZ263" i="6"/>
  <c r="BA254" i="6"/>
  <c r="BA245" i="6"/>
  <c r="AZ228" i="6"/>
  <c r="AZ223" i="6"/>
  <c r="AZ208" i="6"/>
  <c r="BA205" i="6"/>
  <c r="AZ191" i="6"/>
  <c r="BA186" i="6"/>
  <c r="AZ130" i="6"/>
  <c r="BA50" i="6"/>
  <c r="BA269" i="6"/>
  <c r="BA262" i="6"/>
  <c r="AZ256" i="6"/>
  <c r="AZ254" i="6"/>
  <c r="BA247" i="6"/>
  <c r="BA240" i="6"/>
  <c r="BA217" i="6"/>
  <c r="BA155" i="6"/>
  <c r="BA81" i="6"/>
  <c r="BA20" i="6"/>
  <c r="AZ94" i="6" l="1"/>
  <c r="AZ100" i="6"/>
  <c r="BA97" i="6"/>
  <c r="BA99" i="6"/>
  <c r="Q626" i="6"/>
  <c r="AZ626" i="6" s="1"/>
  <c r="BA110" i="6"/>
  <c r="AZ112" i="6"/>
  <c r="AZ628" i="6"/>
  <c r="S643" i="6"/>
  <c r="BA95" i="6"/>
  <c r="AZ121" i="6"/>
  <c r="BA96" i="6"/>
  <c r="BA109" i="6"/>
  <c r="AZ106" i="6"/>
  <c r="AZ118" i="6"/>
  <c r="BA98" i="6"/>
  <c r="AZ117" i="6"/>
  <c r="BA103" i="6"/>
  <c r="AZ97" i="6"/>
  <c r="BA119" i="6"/>
  <c r="BA121" i="6"/>
  <c r="BA113" i="6"/>
  <c r="AZ108" i="6"/>
  <c r="BA114" i="6"/>
  <c r="BA104" i="6"/>
  <c r="BA111" i="6"/>
  <c r="BA101" i="6"/>
  <c r="AZ120" i="6"/>
  <c r="BA643" i="6" l="1"/>
  <c r="W1" i="6"/>
  <c r="AH625" i="6" l="1"/>
  <c r="AI625" i="6" s="1"/>
  <c r="I625" i="6"/>
  <c r="R625" i="6" s="1"/>
  <c r="I624" i="6"/>
  <c r="R624" i="6" s="1"/>
  <c r="AH623" i="6"/>
  <c r="AI623" i="6" s="1"/>
  <c r="I623" i="6"/>
  <c r="R623" i="6" s="1"/>
  <c r="AH622" i="6"/>
  <c r="AI622" i="6" s="1"/>
  <c r="I622" i="6"/>
  <c r="AH621" i="6"/>
  <c r="AI621" i="6" s="1"/>
  <c r="I620" i="6"/>
  <c r="R620" i="6" l="1"/>
  <c r="S620" i="6" s="1"/>
  <c r="I626" i="6"/>
  <c r="R626" i="6" s="1"/>
  <c r="R622" i="6"/>
  <c r="W622" i="6" s="1"/>
  <c r="S621" i="6"/>
  <c r="BA621" i="6" s="1"/>
  <c r="AH624" i="6"/>
  <c r="AI624" i="6" s="1"/>
  <c r="S623" i="6"/>
  <c r="BA623" i="6" s="1"/>
  <c r="S624" i="6"/>
  <c r="AH620" i="6"/>
  <c r="AI620" i="6" s="1"/>
  <c r="S625" i="6"/>
  <c r="BA625" i="6" s="1"/>
  <c r="AH628" i="6"/>
  <c r="AI628" i="6" s="1"/>
  <c r="I627" i="6"/>
  <c r="R627" i="6" s="1"/>
  <c r="I628" i="6"/>
  <c r="R628" i="6" s="1"/>
  <c r="W620" i="6" l="1"/>
  <c r="BA620" i="6"/>
  <c r="S622" i="6"/>
  <c r="BA622" i="6" s="1"/>
  <c r="W621" i="6"/>
  <c r="S628" i="6"/>
  <c r="BA628" i="6" s="1"/>
  <c r="AH627" i="6"/>
  <c r="AI627" i="6" s="1"/>
  <c r="W625" i="6"/>
  <c r="S626" i="6"/>
  <c r="W623" i="6"/>
  <c r="W624" i="6"/>
  <c r="AH626" i="6"/>
  <c r="AI626" i="6" s="1"/>
  <c r="S627" i="6"/>
  <c r="BA624" i="6"/>
  <c r="M139" i="6"/>
  <c r="K139" i="6"/>
  <c r="M146" i="6"/>
  <c r="K146" i="6"/>
  <c r="M152" i="6"/>
  <c r="K152" i="6"/>
  <c r="M143" i="6"/>
  <c r="K143" i="6"/>
  <c r="M151" i="6"/>
  <c r="R151" i="6" s="1"/>
  <c r="M149" i="6"/>
  <c r="R149" i="6" s="1"/>
  <c r="O148" i="6"/>
  <c r="M148" i="6"/>
  <c r="K148" i="6"/>
  <c r="O145" i="6"/>
  <c r="M145" i="6"/>
  <c r="K145" i="6"/>
  <c r="M142" i="6"/>
  <c r="K142" i="6"/>
  <c r="M141" i="6"/>
  <c r="K141" i="6"/>
  <c r="M140" i="6"/>
  <c r="K140" i="6"/>
  <c r="O134" i="6"/>
  <c r="M134" i="6"/>
  <c r="K134" i="6"/>
  <c r="O138" i="6"/>
  <c r="M138" i="6"/>
  <c r="K138" i="6"/>
  <c r="O137" i="6"/>
  <c r="M137" i="6"/>
  <c r="K137" i="6"/>
  <c r="O136" i="6"/>
  <c r="M136" i="6"/>
  <c r="K136" i="6"/>
  <c r="O135" i="6"/>
  <c r="M135" i="6"/>
  <c r="K135" i="6"/>
  <c r="O133" i="6"/>
  <c r="M133" i="6"/>
  <c r="K133" i="6"/>
  <c r="O132" i="6"/>
  <c r="M132" i="6"/>
  <c r="K132" i="6"/>
  <c r="O131" i="6"/>
  <c r="M131" i="6"/>
  <c r="K131" i="6"/>
  <c r="O130" i="6"/>
  <c r="M130" i="6"/>
  <c r="K130" i="6"/>
  <c r="O129" i="6"/>
  <c r="M129" i="6"/>
  <c r="K129" i="6"/>
  <c r="O128" i="6"/>
  <c r="M128" i="6"/>
  <c r="K128" i="6"/>
  <c r="O127" i="6"/>
  <c r="M127" i="6"/>
  <c r="K127" i="6"/>
  <c r="O126" i="6"/>
  <c r="M126" i="6"/>
  <c r="K126" i="6"/>
  <c r="O125" i="6"/>
  <c r="M125" i="6"/>
  <c r="K125" i="6"/>
  <c r="O124" i="6"/>
  <c r="M124" i="6"/>
  <c r="K124" i="6"/>
  <c r="O123" i="6"/>
  <c r="M123" i="6"/>
  <c r="K123" i="6"/>
  <c r="O122" i="6"/>
  <c r="M122" i="6"/>
  <c r="K122" i="6"/>
  <c r="R122" i="6" l="1"/>
  <c r="R130" i="6"/>
  <c r="R134" i="6"/>
  <c r="S134" i="6" s="1"/>
  <c r="BA134" i="6" s="1"/>
  <c r="W628" i="6"/>
  <c r="R127" i="6"/>
  <c r="W127" i="6" s="1"/>
  <c r="R136" i="6"/>
  <c r="W136" i="6" s="1"/>
  <c r="R142" i="6"/>
  <c r="W142" i="6" s="1"/>
  <c r="R139" i="6"/>
  <c r="S139" i="6" s="1"/>
  <c r="BA139" i="6" s="1"/>
  <c r="R124" i="6"/>
  <c r="W124" i="6" s="1"/>
  <c r="R132" i="6"/>
  <c r="S132" i="6" s="1"/>
  <c r="BA132" i="6" s="1"/>
  <c r="R126" i="6"/>
  <c r="S126" i="6" s="1"/>
  <c r="BA126" i="6" s="1"/>
  <c r="R135" i="6"/>
  <c r="W135" i="6" s="1"/>
  <c r="R123" i="6"/>
  <c r="S123" i="6" s="1"/>
  <c r="BA123" i="6" s="1"/>
  <c r="R131" i="6"/>
  <c r="W131" i="6" s="1"/>
  <c r="R140" i="6"/>
  <c r="S140" i="6" s="1"/>
  <c r="BA140" i="6" s="1"/>
  <c r="R152" i="6"/>
  <c r="W152" i="6" s="1"/>
  <c r="BA627" i="6"/>
  <c r="W627" i="6"/>
  <c r="R148" i="6"/>
  <c r="R129" i="6"/>
  <c r="R138" i="6"/>
  <c r="R141" i="6"/>
  <c r="R146" i="6"/>
  <c r="W149" i="6"/>
  <c r="S149" i="6"/>
  <c r="BA149" i="6" s="1"/>
  <c r="S122" i="6"/>
  <c r="BA122" i="6" s="1"/>
  <c r="W122" i="6"/>
  <c r="W130" i="6"/>
  <c r="S130" i="6"/>
  <c r="BA130" i="6" s="1"/>
  <c r="S151" i="6"/>
  <c r="BA151" i="6" s="1"/>
  <c r="W151" i="6"/>
  <c r="W626" i="6"/>
  <c r="R125" i="6"/>
  <c r="R133" i="6"/>
  <c r="R145" i="6"/>
  <c r="R143" i="6"/>
  <c r="BA626" i="6"/>
  <c r="R128" i="6"/>
  <c r="R137" i="6"/>
  <c r="V1" i="6"/>
  <c r="W123" i="6" l="1"/>
  <c r="W134" i="6"/>
  <c r="S135" i="6"/>
  <c r="BA135" i="6" s="1"/>
  <c r="S136" i="6"/>
  <c r="BA136" i="6" s="1"/>
  <c r="W126" i="6"/>
  <c r="S127" i="6"/>
  <c r="BA127" i="6" s="1"/>
  <c r="S131" i="6"/>
  <c r="BA131" i="6" s="1"/>
  <c r="S142" i="6"/>
  <c r="BA142" i="6" s="1"/>
  <c r="S152" i="6"/>
  <c r="BA152" i="6" s="1"/>
  <c r="W140" i="6"/>
  <c r="S124" i="6"/>
  <c r="BA124" i="6" s="1"/>
  <c r="W132" i="6"/>
  <c r="W139" i="6"/>
  <c r="S146" i="6"/>
  <c r="BA146" i="6" s="1"/>
  <c r="W146" i="6"/>
  <c r="W128" i="6"/>
  <c r="S128" i="6"/>
  <c r="BA128" i="6" s="1"/>
  <c r="S141" i="6"/>
  <c r="BA141" i="6" s="1"/>
  <c r="W141" i="6"/>
  <c r="W137" i="6"/>
  <c r="S137" i="6"/>
  <c r="BA137" i="6" s="1"/>
  <c r="S145" i="6"/>
  <c r="BA145" i="6" s="1"/>
  <c r="W145" i="6"/>
  <c r="W148" i="6"/>
  <c r="S148" i="6"/>
  <c r="BA148" i="6" s="1"/>
  <c r="W138" i="6"/>
  <c r="S138" i="6"/>
  <c r="BA138" i="6" s="1"/>
  <c r="S133" i="6"/>
  <c r="BA133" i="6" s="1"/>
  <c r="W133" i="6"/>
  <c r="S143" i="6"/>
  <c r="BA143" i="6" s="1"/>
  <c r="W143" i="6"/>
  <c r="S129" i="6"/>
  <c r="BA129" i="6" s="1"/>
  <c r="W129" i="6"/>
  <c r="S125" i="6"/>
  <c r="BA125" i="6" s="1"/>
  <c r="W125" i="6"/>
  <c r="AH170" i="9"/>
  <c r="AG171" i="9"/>
  <c r="AI183" i="9"/>
  <c r="AH171" i="9"/>
  <c r="AI170" i="9"/>
  <c r="AG170" i="9"/>
  <c r="AI182" i="9"/>
  <c r="AI171" i="9"/>
  <c r="AL179" i="14" l="1"/>
  <c r="AM179" i="14"/>
  <c r="AO179" i="14"/>
  <c r="AN179" i="14"/>
  <c r="AF179" i="14"/>
  <c r="AH179" i="14"/>
  <c r="AD179" i="14"/>
  <c r="AK171" i="9"/>
  <c r="AG179" i="14"/>
  <c r="AK179" i="14"/>
  <c r="AO180" i="14"/>
  <c r="AK182" i="9"/>
  <c r="AE179" i="14"/>
  <c r="AH180" i="14"/>
  <c r="AK183" i="9"/>
  <c r="AK170" i="9"/>
  <c r="AO161" i="14" l="1"/>
  <c r="AX1" i="6" l="1"/>
  <c r="AY1" i="6" s="1"/>
  <c r="AV1" i="6"/>
  <c r="AW1" i="6" s="1"/>
  <c r="AM1" i="6"/>
  <c r="AL1" i="6"/>
  <c r="AH1" i="6"/>
  <c r="AI1" i="6" s="1"/>
  <c r="AF1" i="6"/>
  <c r="AG1" i="6" s="1"/>
  <c r="R1" i="6"/>
  <c r="P1" i="6"/>
  <c r="Q1" i="6" s="1"/>
  <c r="AZ1" i="6" l="1"/>
  <c r="S1" i="6"/>
  <c r="BA1" i="6" s="1"/>
  <c r="AB223" i="14" l="1"/>
  <c r="AL208" i="14" l="1"/>
  <c r="AL199" i="14"/>
  <c r="AL211" i="14"/>
  <c r="AL209" i="14"/>
  <c r="AL193" i="14"/>
  <c r="AL200" i="14"/>
  <c r="AL210" i="14"/>
  <c r="AL205" i="14"/>
  <c r="AL201" i="14"/>
  <c r="AL194" i="14"/>
  <c r="AL203" i="14"/>
  <c r="AL204" i="14"/>
  <c r="AL196" i="14"/>
  <c r="AL195" i="14"/>
  <c r="AL198" i="14"/>
  <c r="AL206" i="14"/>
  <c r="O17" i="21"/>
  <c r="C206" i="21"/>
  <c r="E211" i="21"/>
  <c r="I173" i="21"/>
  <c r="I13" i="21"/>
  <c r="K171" i="21"/>
  <c r="M22" i="21"/>
  <c r="C12" i="21"/>
  <c r="I28" i="21"/>
  <c r="C207" i="21"/>
  <c r="C195" i="21"/>
  <c r="C11" i="21"/>
  <c r="C18" i="21"/>
  <c r="G210" i="21"/>
  <c r="G176" i="21"/>
  <c r="E166" i="21"/>
  <c r="C168" i="21"/>
  <c r="I14" i="21"/>
  <c r="K173" i="21"/>
  <c r="K17" i="21"/>
  <c r="G14" i="21"/>
  <c r="G181" i="21"/>
  <c r="G202" i="21"/>
  <c r="O21" i="21"/>
  <c r="K22" i="21"/>
  <c r="I175" i="21"/>
  <c r="M26" i="21"/>
  <c r="C19" i="21"/>
  <c r="G165" i="21"/>
  <c r="G203" i="21"/>
  <c r="F241" i="21"/>
  <c r="J9" i="21"/>
  <c r="F139" i="21"/>
  <c r="E49" i="21"/>
  <c r="C101" i="21"/>
  <c r="B21" i="21"/>
  <c r="F229" i="21"/>
  <c r="B51" i="21"/>
  <c r="H27" i="21"/>
  <c r="D46" i="21"/>
  <c r="D41" i="21"/>
  <c r="F52" i="21"/>
  <c r="F231" i="21"/>
  <c r="D147" i="21"/>
  <c r="J19" i="21"/>
  <c r="L21" i="21"/>
  <c r="F114" i="21"/>
  <c r="E59" i="21"/>
  <c r="L18" i="21"/>
  <c r="F53" i="21"/>
  <c r="G106" i="21"/>
  <c r="H24" i="21"/>
  <c r="D144" i="21"/>
  <c r="B42" i="21"/>
  <c r="D26" i="21"/>
  <c r="B134" i="21"/>
  <c r="F106" i="21"/>
  <c r="D56" i="21"/>
  <c r="B26" i="21"/>
  <c r="F39" i="21"/>
  <c r="H53" i="21"/>
  <c r="N9" i="21"/>
  <c r="F113" i="21"/>
  <c r="F147" i="21"/>
  <c r="D139" i="21"/>
  <c r="G105" i="21"/>
  <c r="H43" i="21"/>
  <c r="D150" i="21"/>
  <c r="G104" i="21"/>
  <c r="F146" i="21"/>
  <c r="F51" i="21"/>
  <c r="F237" i="21"/>
  <c r="D226" i="21"/>
  <c r="E106" i="21"/>
  <c r="F103" i="21"/>
  <c r="H114" i="21"/>
  <c r="F101" i="21"/>
  <c r="F226" i="21"/>
  <c r="E134" i="21"/>
  <c r="B224" i="21"/>
  <c r="D19" i="21"/>
  <c r="C135" i="21"/>
  <c r="D11" i="21"/>
  <c r="E110" i="21"/>
  <c r="F49" i="21"/>
  <c r="G141" i="21"/>
  <c r="G121" i="21"/>
  <c r="F136" i="21"/>
  <c r="L23" i="21"/>
  <c r="C119" i="21"/>
  <c r="E111" i="21"/>
  <c r="D57" i="21"/>
  <c r="C136" i="21"/>
  <c r="H39" i="21"/>
  <c r="N22" i="21"/>
  <c r="F132" i="21"/>
  <c r="C110" i="21"/>
  <c r="C146" i="21"/>
  <c r="E196" i="21"/>
  <c r="C172" i="21"/>
  <c r="E13" i="21"/>
  <c r="K24" i="21"/>
  <c r="O29" i="21"/>
  <c r="G168" i="21"/>
  <c r="K21" i="21"/>
  <c r="E172" i="21"/>
  <c r="B108" i="21"/>
  <c r="J26" i="21"/>
  <c r="D103" i="21"/>
  <c r="F230" i="21"/>
  <c r="H58" i="21"/>
  <c r="L28" i="21"/>
  <c r="H41" i="21"/>
  <c r="F26" i="21"/>
  <c r="E44" i="21"/>
  <c r="L26" i="21"/>
  <c r="F29" i="21"/>
  <c r="J17" i="21"/>
  <c r="G145" i="21"/>
  <c r="C181" i="21"/>
  <c r="K181" i="21"/>
  <c r="I170" i="21"/>
  <c r="I177" i="21"/>
  <c r="C197" i="21"/>
  <c r="C165" i="21"/>
  <c r="E206" i="21"/>
  <c r="G26" i="21"/>
  <c r="O14" i="21"/>
  <c r="G205" i="21"/>
  <c r="M17" i="21"/>
  <c r="G208" i="21"/>
  <c r="C203" i="21"/>
  <c r="M29" i="21"/>
  <c r="C27" i="21"/>
  <c r="E201" i="21"/>
  <c r="I18" i="21"/>
  <c r="G23" i="21"/>
  <c r="E17" i="21"/>
  <c r="E28" i="21"/>
  <c r="G19" i="21"/>
  <c r="I11" i="21"/>
  <c r="C177" i="21"/>
  <c r="O23" i="21"/>
  <c r="I23" i="21"/>
  <c r="E198" i="21"/>
  <c r="G182" i="21"/>
  <c r="G11" i="21"/>
  <c r="K13" i="21"/>
  <c r="I181" i="21"/>
  <c r="B147" i="21"/>
  <c r="D101" i="21"/>
  <c r="E52" i="21"/>
  <c r="E104" i="21"/>
  <c r="D135" i="21"/>
  <c r="N13" i="21"/>
  <c r="D18" i="21"/>
  <c r="E120" i="21"/>
  <c r="D106" i="21"/>
  <c r="F119" i="21"/>
  <c r="F24" i="21"/>
  <c r="H132" i="21"/>
  <c r="D118" i="21"/>
  <c r="B103" i="21"/>
  <c r="F116" i="21"/>
  <c r="G48" i="21"/>
  <c r="C132" i="21"/>
  <c r="D39" i="21"/>
  <c r="D238" i="21"/>
  <c r="H49" i="21"/>
  <c r="E146" i="21"/>
  <c r="G57" i="21"/>
  <c r="G39" i="21"/>
  <c r="G143" i="21"/>
  <c r="B47" i="21"/>
  <c r="H111" i="21"/>
  <c r="L22" i="21"/>
  <c r="H104" i="21"/>
  <c r="E57" i="21"/>
  <c r="N11" i="21"/>
  <c r="B59" i="21"/>
  <c r="F43" i="21"/>
  <c r="E43" i="21"/>
  <c r="B241" i="21"/>
  <c r="G52" i="21"/>
  <c r="G114" i="21"/>
  <c r="B226" i="21"/>
  <c r="B235" i="21"/>
  <c r="N17" i="21"/>
  <c r="G137" i="21"/>
  <c r="E132" i="21"/>
  <c r="H42" i="21"/>
  <c r="B115" i="21"/>
  <c r="B141" i="21"/>
  <c r="F47" i="21"/>
  <c r="D28" i="21"/>
  <c r="D29" i="21"/>
  <c r="H11" i="21"/>
  <c r="E42" i="21"/>
  <c r="G41" i="21"/>
  <c r="D53" i="21"/>
  <c r="B105" i="21"/>
  <c r="D113" i="21"/>
  <c r="D48" i="21"/>
  <c r="G111" i="21"/>
  <c r="C150" i="21"/>
  <c r="F14" i="21"/>
  <c r="F19" i="21"/>
  <c r="H9" i="21"/>
  <c r="B57" i="21"/>
  <c r="B27" i="21"/>
  <c r="E54" i="21"/>
  <c r="D44" i="21"/>
  <c r="E115" i="21"/>
  <c r="F11" i="21"/>
  <c r="D49" i="21"/>
  <c r="E142" i="21"/>
  <c r="D227" i="21"/>
  <c r="E207" i="21"/>
  <c r="M28" i="21"/>
  <c r="C210" i="21"/>
  <c r="K12" i="21"/>
  <c r="M16" i="21"/>
  <c r="K19" i="21"/>
  <c r="K11" i="21"/>
  <c r="C176" i="21"/>
  <c r="K166" i="21"/>
  <c r="O18" i="21"/>
  <c r="E168" i="21"/>
  <c r="H13" i="21"/>
  <c r="F141" i="21"/>
  <c r="G113" i="21"/>
  <c r="B236" i="21"/>
  <c r="H152" i="21"/>
  <c r="B142" i="21"/>
  <c r="B116" i="21"/>
  <c r="B109" i="21"/>
  <c r="C134" i="21"/>
  <c r="H23" i="21"/>
  <c r="F58" i="21"/>
  <c r="C145" i="21"/>
  <c r="E113" i="21"/>
  <c r="G12" i="21"/>
  <c r="C178" i="21"/>
  <c r="G178" i="21"/>
  <c r="E208" i="21"/>
  <c r="G211" i="21"/>
  <c r="G27" i="21"/>
  <c r="C175" i="21"/>
  <c r="O19" i="21"/>
  <c r="C201" i="21"/>
  <c r="I22" i="21"/>
  <c r="E200" i="21"/>
  <c r="G173" i="21"/>
  <c r="O28" i="21"/>
  <c r="G18" i="21"/>
  <c r="I180" i="21"/>
  <c r="K168" i="21"/>
  <c r="K183" i="21"/>
  <c r="I171" i="21"/>
  <c r="G167" i="21"/>
  <c r="E195" i="21"/>
  <c r="E171" i="21"/>
  <c r="E24" i="21"/>
  <c r="K28" i="21"/>
  <c r="E167" i="21"/>
  <c r="I172" i="21"/>
  <c r="O22" i="21"/>
  <c r="G206" i="21"/>
  <c r="C166" i="21"/>
  <c r="M12" i="21"/>
  <c r="G170" i="21"/>
  <c r="E141" i="21"/>
  <c r="H19" i="21"/>
  <c r="C51" i="21"/>
  <c r="E118" i="21"/>
  <c r="H103" i="21"/>
  <c r="H119" i="21"/>
  <c r="B233" i="21"/>
  <c r="F148" i="21"/>
  <c r="L9" i="21"/>
  <c r="B240" i="21"/>
  <c r="H143" i="21"/>
  <c r="G139" i="21"/>
  <c r="D232" i="21"/>
  <c r="G147" i="21"/>
  <c r="B44" i="21"/>
  <c r="L24" i="21"/>
  <c r="N28" i="21"/>
  <c r="E119" i="21"/>
  <c r="F104" i="21"/>
  <c r="F42" i="21"/>
  <c r="G142" i="21"/>
  <c r="F134" i="21"/>
  <c r="D12" i="21"/>
  <c r="B11" i="21"/>
  <c r="B54" i="21"/>
  <c r="F9" i="21"/>
  <c r="B23" i="21"/>
  <c r="F137" i="21"/>
  <c r="H18" i="21"/>
  <c r="H136" i="21"/>
  <c r="H52" i="21"/>
  <c r="G146" i="21"/>
  <c r="N19" i="21"/>
  <c r="D146" i="21"/>
  <c r="D241" i="21"/>
  <c r="L17" i="21"/>
  <c r="J24" i="21"/>
  <c r="N24" i="21"/>
  <c r="F59" i="21"/>
  <c r="F238" i="21"/>
  <c r="D137" i="21"/>
  <c r="D236" i="21"/>
  <c r="C148" i="21"/>
  <c r="F41" i="21"/>
  <c r="G118" i="21"/>
  <c r="L14" i="21"/>
  <c r="D54" i="21"/>
  <c r="B151" i="21"/>
  <c r="F57" i="21"/>
  <c r="B152" i="21"/>
  <c r="D21" i="21"/>
  <c r="B19" i="21"/>
  <c r="G134" i="21"/>
  <c r="C121" i="21"/>
  <c r="F111" i="21"/>
  <c r="E148" i="21"/>
  <c r="D151" i="21"/>
  <c r="B43" i="21"/>
  <c r="E39" i="21"/>
  <c r="C49" i="21"/>
  <c r="E108" i="21"/>
  <c r="E143" i="21"/>
  <c r="F21" i="21"/>
  <c r="C48" i="21"/>
  <c r="H145" i="21"/>
  <c r="H54" i="21"/>
  <c r="B9" i="21"/>
  <c r="F23" i="21"/>
  <c r="I166" i="21"/>
  <c r="E197" i="21"/>
  <c r="E212" i="21"/>
  <c r="G183" i="21"/>
  <c r="M14" i="21"/>
  <c r="E177" i="21"/>
  <c r="K172" i="21"/>
  <c r="O26" i="21"/>
  <c r="E19" i="21"/>
  <c r="E16" i="21"/>
  <c r="F224" i="21"/>
  <c r="H147" i="21"/>
  <c r="L27" i="21"/>
  <c r="D152" i="21"/>
  <c r="C108" i="21"/>
  <c r="G120" i="21"/>
  <c r="H14" i="21"/>
  <c r="C53" i="21"/>
  <c r="C59" i="21"/>
  <c r="B227" i="21"/>
  <c r="E53" i="21"/>
  <c r="C118" i="21"/>
  <c r="F28" i="21"/>
  <c r="K16" i="21"/>
  <c r="G24" i="21"/>
  <c r="G180" i="21"/>
  <c r="C24" i="21"/>
  <c r="C196" i="21"/>
  <c r="K29" i="21"/>
  <c r="G21" i="21"/>
  <c r="K182" i="21"/>
  <c r="G175" i="21"/>
  <c r="O27" i="21"/>
  <c r="E202" i="21"/>
  <c r="G198" i="21"/>
  <c r="O12" i="21"/>
  <c r="I178" i="21"/>
  <c r="E181" i="21"/>
  <c r="K27" i="21"/>
  <c r="O24" i="21"/>
  <c r="I29" i="21"/>
  <c r="E29" i="21"/>
  <c r="C213" i="21"/>
  <c r="G172" i="21"/>
  <c r="G171" i="21"/>
  <c r="C180" i="21"/>
  <c r="K180" i="21"/>
  <c r="M24" i="21"/>
  <c r="G177" i="21"/>
  <c r="I24" i="21"/>
  <c r="G200" i="21"/>
  <c r="C205" i="21"/>
  <c r="C23" i="21"/>
  <c r="C137" i="21"/>
  <c r="E116" i="21"/>
  <c r="G109" i="21"/>
  <c r="C116" i="21"/>
  <c r="E103" i="21"/>
  <c r="C43" i="21"/>
  <c r="E105" i="21"/>
  <c r="H144" i="21"/>
  <c r="H139" i="21"/>
  <c r="E48" i="21"/>
  <c r="J21" i="21"/>
  <c r="H120" i="21"/>
  <c r="E140" i="21"/>
  <c r="H118" i="21"/>
  <c r="E58" i="21"/>
  <c r="B232" i="21"/>
  <c r="C151" i="21"/>
  <c r="J16" i="21"/>
  <c r="B17" i="21"/>
  <c r="G49" i="21"/>
  <c r="H135" i="21"/>
  <c r="N26" i="21"/>
  <c r="F142" i="21"/>
  <c r="F54" i="21"/>
  <c r="B146" i="21"/>
  <c r="D141" i="21"/>
  <c r="G53" i="21"/>
  <c r="H115" i="21"/>
  <c r="D121" i="21"/>
  <c r="E152" i="21"/>
  <c r="D110" i="21"/>
  <c r="D27" i="21"/>
  <c r="B114" i="21"/>
  <c r="J11" i="21"/>
  <c r="D111" i="21"/>
  <c r="G59" i="21"/>
  <c r="B52" i="21"/>
  <c r="D43" i="21"/>
  <c r="D22" i="21"/>
  <c r="D17" i="21"/>
  <c r="H21" i="21"/>
  <c r="H113" i="21"/>
  <c r="D228" i="21"/>
  <c r="G108" i="21"/>
  <c r="B140" i="21"/>
  <c r="H57" i="21"/>
  <c r="H141" i="21"/>
  <c r="F13" i="21"/>
  <c r="H101" i="21"/>
  <c r="F22" i="21"/>
  <c r="G132" i="21"/>
  <c r="D104" i="21"/>
  <c r="B148" i="21"/>
  <c r="B119" i="21"/>
  <c r="D240" i="21"/>
  <c r="D116" i="21"/>
  <c r="D231" i="21"/>
  <c r="C111" i="21"/>
  <c r="H29" i="21"/>
  <c r="J27" i="21"/>
  <c r="D120" i="21"/>
  <c r="N16" i="21"/>
  <c r="H106" i="21"/>
  <c r="E56" i="21"/>
  <c r="H22" i="21"/>
  <c r="H26" i="21"/>
  <c r="D140" i="21"/>
  <c r="I183" i="21"/>
  <c r="K23" i="21"/>
  <c r="G195" i="21"/>
  <c r="E12" i="21"/>
  <c r="M19" i="21"/>
  <c r="G29" i="21"/>
  <c r="E176" i="21"/>
  <c r="I168" i="21"/>
  <c r="G196" i="21"/>
  <c r="G17" i="21"/>
  <c r="I27" i="21"/>
  <c r="K14" i="21"/>
  <c r="I16" i="21"/>
  <c r="M27" i="21"/>
  <c r="C167" i="21"/>
  <c r="G201" i="21"/>
  <c r="C183" i="21"/>
  <c r="E22" i="21"/>
  <c r="G197" i="21"/>
  <c r="O13" i="21"/>
  <c r="I21" i="21"/>
  <c r="E213" i="21"/>
  <c r="E205" i="21"/>
  <c r="I12" i="21"/>
  <c r="E210" i="21"/>
  <c r="I167" i="21"/>
  <c r="C170" i="21"/>
  <c r="G213" i="21"/>
  <c r="I176" i="21"/>
  <c r="E14" i="21"/>
  <c r="K177" i="21"/>
  <c r="C21" i="21"/>
  <c r="K176" i="21"/>
  <c r="C171" i="21"/>
  <c r="E175" i="21"/>
  <c r="E18" i="21"/>
  <c r="E165" i="21"/>
  <c r="B139" i="21"/>
  <c r="C39" i="21"/>
  <c r="H116" i="21"/>
  <c r="G136" i="21"/>
  <c r="G51" i="21"/>
  <c r="D114" i="21"/>
  <c r="E135" i="21"/>
  <c r="C140" i="21"/>
  <c r="D109" i="21"/>
  <c r="F44" i="21"/>
  <c r="G42" i="21"/>
  <c r="N14" i="21"/>
  <c r="B49" i="21"/>
  <c r="B113" i="21"/>
  <c r="B53" i="21"/>
  <c r="B234" i="21"/>
  <c r="B132" i="21"/>
  <c r="H142" i="21"/>
  <c r="C57" i="21"/>
  <c r="H121" i="21"/>
  <c r="N27" i="21"/>
  <c r="G149" i="21"/>
  <c r="D145" i="21"/>
  <c r="G56" i="21"/>
  <c r="H48" i="21"/>
  <c r="B231" i="21"/>
  <c r="F115" i="21"/>
  <c r="F151" i="21"/>
  <c r="J13" i="21"/>
  <c r="E180" i="21"/>
  <c r="M23" i="21"/>
  <c r="F236" i="21"/>
  <c r="B120" i="21"/>
  <c r="F240" i="21"/>
  <c r="D143" i="21"/>
  <c r="F227" i="21"/>
  <c r="E147" i="21"/>
  <c r="E144" i="21"/>
  <c r="D148" i="21"/>
  <c r="H44" i="21"/>
  <c r="B104" i="21"/>
  <c r="G28" i="21"/>
  <c r="K167" i="21"/>
  <c r="K18" i="21"/>
  <c r="F18" i="21"/>
  <c r="E101" i="21"/>
  <c r="B230" i="21"/>
  <c r="E47" i="21"/>
  <c r="C147" i="21"/>
  <c r="D47" i="21"/>
  <c r="J12" i="21"/>
  <c r="B144" i="21"/>
  <c r="B18" i="21"/>
  <c r="B110" i="21"/>
  <c r="I182" i="21"/>
  <c r="C14" i="21"/>
  <c r="F27" i="21"/>
  <c r="C42" i="21"/>
  <c r="G148" i="21"/>
  <c r="D230" i="21"/>
  <c r="D14" i="21"/>
  <c r="D105" i="21"/>
  <c r="F228" i="21"/>
  <c r="C212" i="21"/>
  <c r="E26" i="21"/>
  <c r="E183" i="21"/>
  <c r="K165" i="21"/>
  <c r="O16" i="21"/>
  <c r="E27" i="21"/>
  <c r="C198" i="21"/>
  <c r="G135" i="21"/>
  <c r="H12" i="21"/>
  <c r="D115" i="21"/>
  <c r="H137" i="21"/>
  <c r="D23" i="21"/>
  <c r="D239" i="21"/>
  <c r="F118" i="21"/>
  <c r="E51" i="21"/>
  <c r="H148" i="21"/>
  <c r="B143" i="21"/>
  <c r="L12" i="21"/>
  <c r="F48" i="21"/>
  <c r="B13" i="21"/>
  <c r="G101" i="21"/>
  <c r="F12" i="21"/>
  <c r="C113" i="21"/>
  <c r="D52" i="21"/>
  <c r="D233" i="21"/>
  <c r="D229" i="21"/>
  <c r="F110" i="21"/>
  <c r="C115" i="21"/>
  <c r="H134" i="21"/>
  <c r="D142" i="21"/>
  <c r="B137" i="21"/>
  <c r="F121" i="21"/>
  <c r="D16" i="21"/>
  <c r="B29" i="21"/>
  <c r="F235" i="21"/>
  <c r="G119" i="21"/>
  <c r="C211" i="21"/>
  <c r="G166" i="21"/>
  <c r="F234" i="21"/>
  <c r="B106" i="21"/>
  <c r="B135" i="21"/>
  <c r="H56" i="21"/>
  <c r="F46" i="21"/>
  <c r="D134" i="21"/>
  <c r="C114" i="21"/>
  <c r="B229" i="21"/>
  <c r="D58" i="21"/>
  <c r="B101" i="21"/>
  <c r="C182" i="21"/>
  <c r="I165" i="21"/>
  <c r="F144" i="21"/>
  <c r="B238" i="21"/>
  <c r="E150" i="21"/>
  <c r="D224" i="21"/>
  <c r="H105" i="21"/>
  <c r="N18" i="21"/>
  <c r="C143" i="21"/>
  <c r="F150" i="21"/>
  <c r="F145" i="21"/>
  <c r="C120" i="21"/>
  <c r="E23" i="21"/>
  <c r="E173" i="21"/>
  <c r="F140" i="21"/>
  <c r="F135" i="21"/>
  <c r="H59" i="21"/>
  <c r="D237" i="21"/>
  <c r="H149" i="21"/>
  <c r="B28" i="21"/>
  <c r="B22" i="21"/>
  <c r="E114" i="21"/>
  <c r="C202" i="21"/>
  <c r="K175" i="21"/>
  <c r="I17" i="21"/>
  <c r="C17" i="21"/>
  <c r="C200" i="21"/>
  <c r="C13" i="21"/>
  <c r="M21" i="21"/>
  <c r="D235" i="21"/>
  <c r="B46" i="21"/>
  <c r="B16" i="21"/>
  <c r="G152" i="21"/>
  <c r="F109" i="21"/>
  <c r="G54" i="21"/>
  <c r="G103" i="21"/>
  <c r="C44" i="21"/>
  <c r="C105" i="21"/>
  <c r="F105" i="21"/>
  <c r="N21" i="21"/>
  <c r="F233" i="21"/>
  <c r="H110" i="21"/>
  <c r="C109" i="21"/>
  <c r="D42" i="21"/>
  <c r="H150" i="21"/>
  <c r="E121" i="21"/>
  <c r="D51" i="21"/>
  <c r="B237" i="21"/>
  <c r="G44" i="21"/>
  <c r="C139" i="21"/>
  <c r="H109" i="21"/>
  <c r="G144" i="21"/>
  <c r="H146" i="21"/>
  <c r="H151" i="21"/>
  <c r="B228" i="21"/>
  <c r="J28" i="21"/>
  <c r="F17" i="21"/>
  <c r="C152" i="21"/>
  <c r="K178" i="21"/>
  <c r="E182" i="21"/>
  <c r="K26" i="21"/>
  <c r="N12" i="21"/>
  <c r="B39" i="21"/>
  <c r="B41" i="21"/>
  <c r="B56" i="21"/>
  <c r="G140" i="21"/>
  <c r="L29" i="21"/>
  <c r="F120" i="21"/>
  <c r="F149" i="21"/>
  <c r="F16" i="21"/>
  <c r="C22" i="21"/>
  <c r="E21" i="21"/>
  <c r="G207" i="21"/>
  <c r="C103" i="21"/>
  <c r="E151" i="21"/>
  <c r="B118" i="21"/>
  <c r="D59" i="21"/>
  <c r="D108" i="21"/>
  <c r="G43" i="21"/>
  <c r="L11" i="21"/>
  <c r="B145" i="21"/>
  <c r="H51" i="21"/>
  <c r="C41" i="21"/>
  <c r="K170" i="21"/>
  <c r="M18" i="21"/>
  <c r="G115" i="21"/>
  <c r="G151" i="21"/>
  <c r="N29" i="21"/>
  <c r="G46" i="21"/>
  <c r="E136" i="21"/>
  <c r="H28" i="21"/>
  <c r="C28" i="21"/>
  <c r="M11" i="21"/>
  <c r="C208" i="21"/>
  <c r="E170" i="21"/>
  <c r="I19" i="21"/>
  <c r="E178" i="21"/>
  <c r="C29" i="21"/>
  <c r="O11" i="21"/>
  <c r="L19" i="21"/>
  <c r="D9" i="21"/>
  <c r="E137" i="21"/>
  <c r="C56" i="21"/>
  <c r="D149" i="21"/>
  <c r="J14" i="21"/>
  <c r="H46" i="21"/>
  <c r="B149" i="21"/>
  <c r="H108" i="21"/>
  <c r="E46" i="21"/>
  <c r="C106" i="21"/>
  <c r="C141" i="21"/>
  <c r="F143" i="21"/>
  <c r="C46" i="21"/>
  <c r="C52" i="21"/>
  <c r="B24" i="21"/>
  <c r="C54" i="21"/>
  <c r="F152" i="21"/>
  <c r="C149" i="21"/>
  <c r="B58" i="21"/>
  <c r="D119" i="21"/>
  <c r="F108" i="21"/>
  <c r="B150" i="21"/>
  <c r="E41" i="21"/>
  <c r="D13" i="21"/>
  <c r="G116" i="21"/>
  <c r="C144" i="21"/>
  <c r="B48" i="21"/>
  <c r="D132" i="21"/>
  <c r="G16" i="21"/>
  <c r="E203" i="21"/>
  <c r="G212" i="21"/>
  <c r="G22" i="21"/>
  <c r="I26" i="21"/>
  <c r="C16" i="21"/>
  <c r="C173" i="21"/>
  <c r="G13" i="21"/>
  <c r="L13" i="21"/>
  <c r="E149" i="21"/>
  <c r="J29" i="21"/>
  <c r="G150" i="21"/>
  <c r="F232" i="21"/>
  <c r="G110" i="21"/>
  <c r="H140" i="21"/>
  <c r="G58" i="21"/>
  <c r="E139" i="21"/>
  <c r="B121" i="21"/>
  <c r="D136" i="21"/>
  <c r="B136" i="21"/>
  <c r="J22" i="21"/>
  <c r="B14" i="21"/>
  <c r="E145" i="21"/>
  <c r="N23" i="21"/>
  <c r="C47" i="21"/>
  <c r="H17" i="21"/>
  <c r="C58" i="21"/>
  <c r="J23" i="21"/>
  <c r="G47" i="21"/>
  <c r="D234" i="21"/>
  <c r="B239" i="21"/>
  <c r="F239" i="21"/>
  <c r="B111" i="21"/>
  <c r="H47" i="21"/>
  <c r="L16" i="21"/>
  <c r="B12" i="21"/>
  <c r="E11" i="21"/>
  <c r="C26" i="21"/>
  <c r="C142" i="21"/>
  <c r="C104" i="21"/>
  <c r="J18" i="21"/>
  <c r="F56" i="21"/>
  <c r="D24" i="21"/>
  <c r="H16" i="21"/>
  <c r="E109" i="21"/>
  <c r="X165" i="14"/>
  <c r="E203" i="14"/>
  <c r="C204" i="14"/>
  <c r="T24" i="14"/>
  <c r="C194" i="14"/>
  <c r="T163" i="14"/>
  <c r="G169" i="14"/>
  <c r="V180" i="14"/>
  <c r="G173" i="14"/>
  <c r="V173" i="14"/>
  <c r="X173" i="14"/>
  <c r="G11" i="14"/>
  <c r="X27" i="14"/>
  <c r="C12" i="14"/>
  <c r="C174" i="14"/>
  <c r="C26" i="14"/>
  <c r="K13" i="14"/>
  <c r="Z174" i="14"/>
  <c r="C164" i="14"/>
  <c r="K178" i="14"/>
  <c r="V175" i="14"/>
  <c r="K11" i="14"/>
  <c r="O21" i="14"/>
  <c r="Z171" i="14"/>
  <c r="M19" i="14"/>
  <c r="E166" i="14"/>
  <c r="K27" i="14"/>
  <c r="C203" i="14"/>
  <c r="T200" i="14"/>
  <c r="C205" i="14"/>
  <c r="AD24" i="14"/>
  <c r="V165" i="14"/>
  <c r="I171" i="14"/>
  <c r="Z22" i="14"/>
  <c r="C165" i="14"/>
  <c r="T13" i="14"/>
  <c r="M16" i="14"/>
  <c r="Z14" i="14"/>
  <c r="I173" i="14"/>
  <c r="E28" i="14"/>
  <c r="G23" i="14"/>
  <c r="I29" i="14"/>
  <c r="O22" i="14"/>
  <c r="K18" i="14"/>
  <c r="T181" i="14"/>
  <c r="AD14" i="14"/>
  <c r="M24" i="14"/>
  <c r="K165" i="14"/>
  <c r="X175" i="14"/>
  <c r="G19" i="14"/>
  <c r="K175" i="14"/>
  <c r="E171" i="14"/>
  <c r="M21" i="14"/>
  <c r="R208" i="14"/>
  <c r="V170" i="14"/>
  <c r="X110" i="14"/>
  <c r="B138" i="14"/>
  <c r="R88" i="14"/>
  <c r="S84" i="14"/>
  <c r="Q90" i="14"/>
  <c r="R103" i="14"/>
  <c r="V110" i="14"/>
  <c r="D28" i="14"/>
  <c r="R228" i="14"/>
  <c r="D21" i="14"/>
  <c r="T139" i="14"/>
  <c r="W88" i="14"/>
  <c r="C51" i="14"/>
  <c r="G136" i="14"/>
  <c r="F103" i="14"/>
  <c r="G133" i="14"/>
  <c r="F139" i="14"/>
  <c r="U131" i="14"/>
  <c r="D27" i="14"/>
  <c r="G52" i="14"/>
  <c r="C103" i="14"/>
  <c r="F237" i="14"/>
  <c r="W133" i="14"/>
  <c r="B151" i="14"/>
  <c r="D52" i="14"/>
  <c r="U116" i="14"/>
  <c r="F49" i="14"/>
  <c r="G131" i="14"/>
  <c r="Q144" i="14"/>
  <c r="B230" i="14"/>
  <c r="I143" i="14"/>
  <c r="V88" i="14"/>
  <c r="D101" i="14"/>
  <c r="E42" i="14"/>
  <c r="E138" i="14"/>
  <c r="Q141" i="14"/>
  <c r="R229" i="14"/>
  <c r="S239" i="14"/>
  <c r="H101" i="14"/>
  <c r="V148" i="14"/>
  <c r="W141" i="14"/>
  <c r="R150" i="14"/>
  <c r="D142" i="14"/>
  <c r="I150" i="14"/>
  <c r="C108" i="14"/>
  <c r="G54" i="14"/>
  <c r="R118" i="14"/>
  <c r="C104" i="14"/>
  <c r="B120" i="14"/>
  <c r="S235" i="14"/>
  <c r="B101" i="14"/>
  <c r="H58" i="14"/>
  <c r="R145" i="14"/>
  <c r="X108" i="14"/>
  <c r="D41" i="14"/>
  <c r="R90" i="14"/>
  <c r="W83" i="14"/>
  <c r="R232" i="14"/>
  <c r="H56" i="14"/>
  <c r="F133" i="14"/>
  <c r="G53" i="14"/>
  <c r="F16" i="14"/>
  <c r="S75" i="14"/>
  <c r="Q88" i="14"/>
  <c r="F110" i="14"/>
  <c r="V149" i="14"/>
  <c r="I119" i="14"/>
  <c r="T146" i="14"/>
  <c r="W148" i="14"/>
  <c r="H135" i="14"/>
  <c r="D147" i="14"/>
  <c r="B44" i="14"/>
  <c r="I165" i="14"/>
  <c r="X14" i="14"/>
  <c r="G166" i="14"/>
  <c r="G171" i="14"/>
  <c r="T174" i="14"/>
  <c r="C29" i="14"/>
  <c r="X170" i="14"/>
  <c r="C169" i="14"/>
  <c r="C17" i="14"/>
  <c r="AD17" i="14"/>
  <c r="C179" i="14"/>
  <c r="R179" i="14"/>
  <c r="K171" i="14"/>
  <c r="X166" i="14"/>
  <c r="K164" i="14"/>
  <c r="Z16" i="14"/>
  <c r="C208" i="14"/>
  <c r="AB24" i="14"/>
  <c r="C171" i="14"/>
  <c r="R170" i="14"/>
  <c r="T201" i="14"/>
  <c r="R171" i="14"/>
  <c r="T204" i="14"/>
  <c r="R196" i="14"/>
  <c r="G13" i="14"/>
  <c r="C209" i="14"/>
  <c r="C19" i="14"/>
  <c r="Z169" i="14"/>
  <c r="T196" i="14"/>
  <c r="X168" i="14"/>
  <c r="K181" i="14"/>
  <c r="O28" i="14"/>
  <c r="X26" i="14"/>
  <c r="R14" i="14"/>
  <c r="C27" i="14"/>
  <c r="T19" i="14"/>
  <c r="E170" i="14"/>
  <c r="G12" i="14"/>
  <c r="C163" i="14"/>
  <c r="R193" i="14"/>
  <c r="AD19" i="14"/>
  <c r="O19" i="14"/>
  <c r="I14" i="14"/>
  <c r="V178" i="14"/>
  <c r="X181" i="14"/>
  <c r="G163" i="14"/>
  <c r="E194" i="14"/>
  <c r="G176" i="14"/>
  <c r="X12" i="14"/>
  <c r="V181" i="14"/>
  <c r="X176" i="14"/>
  <c r="R29" i="14"/>
  <c r="T16" i="14"/>
  <c r="X178" i="14"/>
  <c r="S148" i="14"/>
  <c r="T151" i="14"/>
  <c r="H141" i="14"/>
  <c r="B227" i="14"/>
  <c r="T144" i="14"/>
  <c r="G138" i="14"/>
  <c r="H51" i="14"/>
  <c r="N19" i="14"/>
  <c r="G109" i="14"/>
  <c r="E105" i="14"/>
  <c r="R133" i="14"/>
  <c r="T116" i="14"/>
  <c r="D141" i="14"/>
  <c r="U80" i="14"/>
  <c r="W78" i="14"/>
  <c r="T70" i="14"/>
  <c r="C138" i="14"/>
  <c r="D51" i="14"/>
  <c r="S70" i="14"/>
  <c r="T226" i="14"/>
  <c r="Q138" i="14"/>
  <c r="I138" i="14"/>
  <c r="E108" i="14"/>
  <c r="D12" i="14"/>
  <c r="E136" i="14"/>
  <c r="T150" i="14"/>
  <c r="U143" i="14"/>
  <c r="Q77" i="14"/>
  <c r="D119" i="14"/>
  <c r="B149" i="14"/>
  <c r="R238" i="14"/>
  <c r="R233" i="14"/>
  <c r="U72" i="14"/>
  <c r="R89" i="14"/>
  <c r="Q89" i="14"/>
  <c r="U70" i="14"/>
  <c r="T135" i="14"/>
  <c r="N11" i="14"/>
  <c r="S77" i="14"/>
  <c r="B239" i="14"/>
  <c r="G46" i="14"/>
  <c r="Q149" i="14"/>
  <c r="H26" i="14"/>
  <c r="T229" i="14"/>
  <c r="F56" i="14"/>
  <c r="F57" i="14"/>
  <c r="G43" i="14"/>
  <c r="T141" i="14"/>
  <c r="G51" i="14"/>
  <c r="B135" i="14"/>
  <c r="C134" i="14"/>
  <c r="B48" i="14"/>
  <c r="D148" i="14"/>
  <c r="H151" i="14"/>
  <c r="E146" i="14"/>
  <c r="S138" i="14"/>
  <c r="R227" i="14"/>
  <c r="N21" i="14"/>
  <c r="V70" i="14"/>
  <c r="B46" i="14"/>
  <c r="B105" i="14"/>
  <c r="J12" i="14"/>
  <c r="G110" i="14"/>
  <c r="S101" i="14"/>
  <c r="W75" i="14"/>
  <c r="W114" i="14"/>
  <c r="B118" i="14"/>
  <c r="U74" i="14"/>
  <c r="G42" i="14"/>
  <c r="B150" i="14"/>
  <c r="G120" i="14"/>
  <c r="R143" i="14"/>
  <c r="I175" i="14"/>
  <c r="T198" i="14"/>
  <c r="AB26" i="14"/>
  <c r="E164" i="14"/>
  <c r="R194" i="14"/>
  <c r="M23" i="14"/>
  <c r="X22" i="14"/>
  <c r="R12" i="14"/>
  <c r="E11" i="14"/>
  <c r="M18" i="14"/>
  <c r="Z13" i="14"/>
  <c r="C178" i="14"/>
  <c r="Z21" i="14"/>
  <c r="R199" i="14"/>
  <c r="I23" i="14"/>
  <c r="V166" i="14"/>
  <c r="AB14" i="14"/>
  <c r="Z12" i="14"/>
  <c r="V174" i="14"/>
  <c r="G179" i="14"/>
  <c r="Z26" i="14"/>
  <c r="C28" i="14"/>
  <c r="C200" i="14"/>
  <c r="I166" i="14"/>
  <c r="E173" i="14"/>
  <c r="T205" i="14"/>
  <c r="R174" i="14"/>
  <c r="Z19" i="14"/>
  <c r="E206" i="14"/>
  <c r="E196" i="14"/>
  <c r="C166" i="14"/>
  <c r="V164" i="14"/>
  <c r="R168" i="14"/>
  <c r="Z180" i="14"/>
  <c r="K12" i="14"/>
  <c r="AD26" i="14"/>
  <c r="R18" i="14"/>
  <c r="C195" i="14"/>
  <c r="AB22" i="14"/>
  <c r="C199" i="14"/>
  <c r="E17" i="14"/>
  <c r="C22" i="14"/>
  <c r="T166" i="14"/>
  <c r="E193" i="14"/>
  <c r="E29" i="14"/>
  <c r="X174" i="14"/>
  <c r="G26" i="14"/>
  <c r="I179" i="14"/>
  <c r="R181" i="14"/>
  <c r="I176" i="14"/>
  <c r="O24" i="14"/>
  <c r="K17" i="14"/>
  <c r="I11" i="14"/>
  <c r="T211" i="14"/>
  <c r="I105" i="14"/>
  <c r="F230" i="14"/>
  <c r="W135" i="14"/>
  <c r="H57" i="14"/>
  <c r="F120" i="14"/>
  <c r="X121" i="14"/>
  <c r="Q87" i="14"/>
  <c r="F149" i="14"/>
  <c r="B235" i="14"/>
  <c r="H52" i="14"/>
  <c r="R135" i="14"/>
  <c r="C119" i="14"/>
  <c r="S234" i="14"/>
  <c r="D138" i="14"/>
  <c r="C118" i="14"/>
  <c r="C58" i="14"/>
  <c r="H22" i="14"/>
  <c r="V83" i="14"/>
  <c r="T140" i="14"/>
  <c r="F43" i="14"/>
  <c r="V143" i="14"/>
  <c r="B136" i="14"/>
  <c r="S145" i="14"/>
  <c r="J11" i="14"/>
  <c r="R74" i="14"/>
  <c r="I141" i="14"/>
  <c r="C135" i="14"/>
  <c r="H118" i="14"/>
  <c r="D13" i="14"/>
  <c r="T113" i="14"/>
  <c r="R119" i="14"/>
  <c r="T121" i="14"/>
  <c r="S121" i="14"/>
  <c r="T230" i="14"/>
  <c r="T237" i="14"/>
  <c r="D29" i="14"/>
  <c r="B103" i="14"/>
  <c r="T83" i="14"/>
  <c r="U115" i="14"/>
  <c r="C57" i="14"/>
  <c r="F26" i="14"/>
  <c r="H24" i="14"/>
  <c r="Q139" i="14"/>
  <c r="E143" i="14"/>
  <c r="F118" i="14"/>
  <c r="N14" i="14"/>
  <c r="V139" i="14"/>
  <c r="B51" i="14"/>
  <c r="F141" i="14"/>
  <c r="B116" i="14"/>
  <c r="B41" i="14"/>
  <c r="R84" i="14"/>
  <c r="B143" i="14"/>
  <c r="H144" i="14"/>
  <c r="I147" i="14"/>
  <c r="G105" i="14"/>
  <c r="B111" i="14"/>
  <c r="H106" i="14"/>
  <c r="W111" i="14"/>
  <c r="U108" i="14"/>
  <c r="V141" i="14"/>
  <c r="R239" i="14"/>
  <c r="B121" i="14"/>
  <c r="Q75" i="14"/>
  <c r="R151" i="14"/>
  <c r="U135" i="14"/>
  <c r="W134" i="14"/>
  <c r="G14" i="14"/>
  <c r="R200" i="14"/>
  <c r="E24" i="14"/>
  <c r="I180" i="14"/>
  <c r="I181" i="14"/>
  <c r="O17" i="14"/>
  <c r="X18" i="14"/>
  <c r="X180" i="14"/>
  <c r="C180" i="14"/>
  <c r="C198" i="14"/>
  <c r="T165" i="14"/>
  <c r="O11" i="14"/>
  <c r="E19" i="14"/>
  <c r="T195" i="14"/>
  <c r="R173" i="14"/>
  <c r="Z168" i="14"/>
  <c r="I12" i="14"/>
  <c r="C181" i="14"/>
  <c r="G175" i="14"/>
  <c r="C211" i="14"/>
  <c r="C173" i="14"/>
  <c r="C176" i="14"/>
  <c r="G24" i="14"/>
  <c r="G178" i="14"/>
  <c r="X24" i="14"/>
  <c r="E198" i="14"/>
  <c r="E168" i="14"/>
  <c r="R204" i="14"/>
  <c r="E204" i="14"/>
  <c r="Z164" i="14"/>
  <c r="X163" i="14"/>
  <c r="T17" i="14"/>
  <c r="AD23" i="14"/>
  <c r="AD21" i="14"/>
  <c r="O23" i="14"/>
  <c r="I168" i="14"/>
  <c r="Z27" i="14"/>
  <c r="E178" i="14"/>
  <c r="AD11" i="14"/>
  <c r="K163" i="14"/>
  <c r="R27" i="14"/>
  <c r="R16" i="14"/>
  <c r="T206" i="14"/>
  <c r="I16" i="14"/>
  <c r="T26" i="14"/>
  <c r="E179" i="14"/>
  <c r="L14" i="14"/>
  <c r="I148" i="14"/>
  <c r="G149" i="14"/>
  <c r="T105" i="14"/>
  <c r="I133" i="14"/>
  <c r="Q150" i="14"/>
  <c r="I140" i="14"/>
  <c r="D23" i="14"/>
  <c r="U82" i="14"/>
  <c r="F42" i="14"/>
  <c r="V101" i="14"/>
  <c r="U119" i="14"/>
  <c r="B12" i="14"/>
  <c r="D144" i="14"/>
  <c r="D134" i="14"/>
  <c r="D145" i="14"/>
  <c r="R237" i="14"/>
  <c r="X116" i="14"/>
  <c r="V114" i="14"/>
  <c r="G144" i="14"/>
  <c r="F232" i="14"/>
  <c r="L16" i="14"/>
  <c r="S149" i="14"/>
  <c r="U149" i="14"/>
  <c r="T234" i="14"/>
  <c r="F235" i="14"/>
  <c r="V115" i="14"/>
  <c r="U141" i="14"/>
  <c r="S222" i="14"/>
  <c r="E106" i="14"/>
  <c r="B28" i="14"/>
  <c r="H19" i="14"/>
  <c r="E109" i="14"/>
  <c r="W113" i="14"/>
  <c r="R79" i="14"/>
  <c r="W103" i="14"/>
  <c r="E58" i="14"/>
  <c r="D108" i="14"/>
  <c r="F226" i="14"/>
  <c r="F116" i="14"/>
  <c r="C133" i="14"/>
  <c r="F134" i="14"/>
  <c r="B26" i="14"/>
  <c r="E120" i="14"/>
  <c r="B142" i="14"/>
  <c r="C114" i="14"/>
  <c r="X114" i="14"/>
  <c r="F113" i="14"/>
  <c r="R83" i="14"/>
  <c r="G135" i="14"/>
  <c r="D149" i="14"/>
  <c r="W70" i="14"/>
  <c r="C120" i="14"/>
  <c r="U151" i="14"/>
  <c r="S89" i="14"/>
  <c r="G113" i="14"/>
  <c r="T72" i="14"/>
  <c r="C140" i="14"/>
  <c r="R114" i="14"/>
  <c r="V84" i="14"/>
  <c r="V75" i="14"/>
  <c r="R134" i="14"/>
  <c r="D103" i="14"/>
  <c r="L23" i="14"/>
  <c r="G48" i="14"/>
  <c r="C143" i="14"/>
  <c r="F228" i="14"/>
  <c r="B23" i="14"/>
  <c r="B238" i="14"/>
  <c r="E114" i="14"/>
  <c r="V151" i="14"/>
  <c r="M12" i="14"/>
  <c r="O26" i="14"/>
  <c r="K28" i="14"/>
  <c r="T176" i="14"/>
  <c r="O18" i="14"/>
  <c r="M22" i="14"/>
  <c r="Z175" i="14"/>
  <c r="AB11" i="14"/>
  <c r="Z28" i="14"/>
  <c r="K24" i="14"/>
  <c r="I26" i="14"/>
  <c r="T28" i="14"/>
  <c r="E22" i="14"/>
  <c r="V176" i="14"/>
  <c r="R205" i="14"/>
  <c r="E165" i="14"/>
  <c r="X11" i="14"/>
  <c r="G28" i="14"/>
  <c r="O12" i="14"/>
  <c r="T171" i="14"/>
  <c r="T168" i="14"/>
  <c r="Z163" i="14"/>
  <c r="R195" i="14"/>
  <c r="R203" i="14"/>
  <c r="X29" i="14"/>
  <c r="C175" i="14"/>
  <c r="C16" i="14"/>
  <c r="E201" i="14"/>
  <c r="G168" i="14"/>
  <c r="T29" i="14"/>
  <c r="T79" i="14"/>
  <c r="S82" i="14"/>
  <c r="R105" i="14"/>
  <c r="Q131" i="14"/>
  <c r="C113" i="14"/>
  <c r="B234" i="14"/>
  <c r="S150" i="14"/>
  <c r="L11" i="14"/>
  <c r="I151" i="14"/>
  <c r="F39" i="14"/>
  <c r="U103" i="14"/>
  <c r="S237" i="14"/>
  <c r="B115" i="14"/>
  <c r="Q80" i="14"/>
  <c r="D26" i="14"/>
  <c r="C101" i="14"/>
  <c r="F227" i="14"/>
  <c r="H18" i="14"/>
  <c r="G147" i="14"/>
  <c r="I145" i="14"/>
  <c r="G145" i="14"/>
  <c r="B58" i="14"/>
  <c r="V121" i="14"/>
  <c r="D115" i="14"/>
  <c r="H121" i="14"/>
  <c r="F29" i="14"/>
  <c r="G139" i="14"/>
  <c r="C111" i="14"/>
  <c r="B228" i="14"/>
  <c r="T131" i="14"/>
  <c r="Q85" i="14"/>
  <c r="U114" i="14"/>
  <c r="V119" i="14"/>
  <c r="D120" i="14"/>
  <c r="F19" i="14"/>
  <c r="R136" i="14"/>
  <c r="X119" i="14"/>
  <c r="L12" i="14"/>
  <c r="G114" i="14"/>
  <c r="V82" i="14"/>
  <c r="S103" i="14"/>
  <c r="H46" i="14"/>
  <c r="C109" i="14"/>
  <c r="T232" i="14"/>
  <c r="Q133" i="14"/>
  <c r="R85" i="14"/>
  <c r="W143" i="14"/>
  <c r="N18" i="14"/>
  <c r="U133" i="14"/>
  <c r="R80" i="14"/>
  <c r="E48" i="14"/>
  <c r="R115" i="14"/>
  <c r="T85" i="14"/>
  <c r="D54" i="14"/>
  <c r="H111" i="14"/>
  <c r="I136" i="14"/>
  <c r="E39" i="14"/>
  <c r="R116" i="14"/>
  <c r="B114" i="14"/>
  <c r="V90" i="14"/>
  <c r="B147" i="14"/>
  <c r="I103" i="14"/>
  <c r="U85" i="14"/>
  <c r="B11" i="14"/>
  <c r="G101" i="14"/>
  <c r="U77" i="14"/>
  <c r="W110" i="14"/>
  <c r="U111" i="14"/>
  <c r="E142" i="14"/>
  <c r="F144" i="14"/>
  <c r="I135" i="14"/>
  <c r="B29" i="14"/>
  <c r="R72" i="14"/>
  <c r="B14" i="14"/>
  <c r="V135" i="14"/>
  <c r="C148" i="14"/>
  <c r="R121" i="14"/>
  <c r="D39" i="14"/>
  <c r="H48" i="14"/>
  <c r="F48" i="14"/>
  <c r="X115" i="14"/>
  <c r="X113" i="14"/>
  <c r="H119" i="14"/>
  <c r="H134" i="14"/>
  <c r="T103" i="14"/>
  <c r="X169" i="14"/>
  <c r="V163" i="14"/>
  <c r="AD28" i="14"/>
  <c r="E210" i="14"/>
  <c r="G29" i="14"/>
  <c r="Z178" i="14"/>
  <c r="E199" i="14"/>
  <c r="T148" i="14"/>
  <c r="H17" i="14"/>
  <c r="D113" i="14"/>
  <c r="E116" i="14"/>
  <c r="D16" i="14"/>
  <c r="S140" i="14"/>
  <c r="S146" i="14"/>
  <c r="C13" i="14"/>
  <c r="AD22" i="14"/>
  <c r="E209" i="14"/>
  <c r="E13" i="14"/>
  <c r="K19" i="14"/>
  <c r="V179" i="14"/>
  <c r="M17" i="14"/>
  <c r="R17" i="14"/>
  <c r="X13" i="14"/>
  <c r="K180" i="14"/>
  <c r="T194" i="14"/>
  <c r="V171" i="14"/>
  <c r="K21" i="14"/>
  <c r="V168" i="14"/>
  <c r="T22" i="14"/>
  <c r="R211" i="14"/>
  <c r="G21" i="14"/>
  <c r="X16" i="14"/>
  <c r="R180" i="14"/>
  <c r="T27" i="14"/>
  <c r="I21" i="14"/>
  <c r="AB13" i="14"/>
  <c r="R21" i="14"/>
  <c r="E163" i="14"/>
  <c r="X164" i="14"/>
  <c r="E27" i="14"/>
  <c r="R166" i="14"/>
  <c r="G18" i="14"/>
  <c r="X109" i="14"/>
  <c r="V79" i="14"/>
  <c r="F13" i="14"/>
  <c r="B59" i="14"/>
  <c r="Q78" i="14"/>
  <c r="X118" i="14"/>
  <c r="W139" i="14"/>
  <c r="J21" i="14"/>
  <c r="F24" i="14"/>
  <c r="E101" i="14"/>
  <c r="R111" i="14"/>
  <c r="U113" i="14"/>
  <c r="R141" i="14"/>
  <c r="R77" i="14"/>
  <c r="R226" i="14"/>
  <c r="D118" i="14"/>
  <c r="R235" i="14"/>
  <c r="R75" i="14"/>
  <c r="W77" i="14"/>
  <c r="N24" i="14"/>
  <c r="G115" i="14"/>
  <c r="S131" i="14"/>
  <c r="V105" i="14"/>
  <c r="G58" i="14"/>
  <c r="C136" i="14"/>
  <c r="V72" i="14"/>
  <c r="I134" i="14"/>
  <c r="E44" i="14"/>
  <c r="B139" i="14"/>
  <c r="D106" i="14"/>
  <c r="F236" i="14"/>
  <c r="T120" i="14"/>
  <c r="R231" i="14"/>
  <c r="S110" i="14"/>
  <c r="E139" i="14"/>
  <c r="G103" i="14"/>
  <c r="C46" i="14"/>
  <c r="X104" i="14"/>
  <c r="E115" i="14"/>
  <c r="Q74" i="14"/>
  <c r="U89" i="14"/>
  <c r="F136" i="14"/>
  <c r="H11" i="14"/>
  <c r="E144" i="14"/>
  <c r="G57" i="14"/>
  <c r="B231" i="14"/>
  <c r="C49" i="14"/>
  <c r="D22" i="14"/>
  <c r="R70" i="14"/>
  <c r="W136" i="14"/>
  <c r="F11" i="14"/>
  <c r="S232" i="14"/>
  <c r="I106" i="14"/>
  <c r="T149" i="14"/>
  <c r="B54" i="14"/>
  <c r="I101" i="14"/>
  <c r="N22" i="14"/>
  <c r="H148" i="14"/>
  <c r="H114" i="14"/>
  <c r="B27" i="14"/>
  <c r="D17" i="14"/>
  <c r="W105" i="14"/>
  <c r="L28" i="14"/>
  <c r="H13" i="14"/>
  <c r="N23" i="14"/>
  <c r="V120" i="14"/>
  <c r="S238" i="14"/>
  <c r="D140" i="14"/>
  <c r="F150" i="14"/>
  <c r="J22" i="14"/>
  <c r="H108" i="14"/>
  <c r="L27" i="14"/>
  <c r="C147" i="14"/>
  <c r="T114" i="14"/>
  <c r="B47" i="14"/>
  <c r="G56" i="14"/>
  <c r="H29" i="14"/>
  <c r="U87" i="14"/>
  <c r="C150" i="14"/>
  <c r="G146" i="14"/>
  <c r="W80" i="14"/>
  <c r="V131" i="14"/>
  <c r="F54" i="14"/>
  <c r="W82" i="14"/>
  <c r="G104" i="14"/>
  <c r="G170" i="14"/>
  <c r="Z173" i="14"/>
  <c r="E21" i="14"/>
  <c r="C18" i="14"/>
  <c r="R23" i="14"/>
  <c r="E26" i="14"/>
  <c r="V140" i="14"/>
  <c r="Q135" i="14"/>
  <c r="I115" i="14"/>
  <c r="E53" i="14"/>
  <c r="S72" i="14"/>
  <c r="N12" i="14"/>
  <c r="G47" i="14"/>
  <c r="E111" i="14"/>
  <c r="Z165" i="14"/>
  <c r="R164" i="14"/>
  <c r="T178" i="14"/>
  <c r="K176" i="14"/>
  <c r="O14" i="14"/>
  <c r="E208" i="14"/>
  <c r="G17" i="14"/>
  <c r="T21" i="14"/>
  <c r="M26" i="14"/>
  <c r="E12" i="14"/>
  <c r="E174" i="14"/>
  <c r="K14" i="14"/>
  <c r="Z181" i="14"/>
  <c r="AD12" i="14"/>
  <c r="T175" i="14"/>
  <c r="C24" i="14"/>
  <c r="T164" i="14"/>
  <c r="E211" i="14"/>
  <c r="G22" i="14"/>
  <c r="G165" i="14"/>
  <c r="I17" i="14"/>
  <c r="X28" i="14"/>
  <c r="R169" i="14"/>
  <c r="R26" i="14"/>
  <c r="I28" i="14"/>
  <c r="E181" i="14"/>
  <c r="R210" i="14"/>
  <c r="K179" i="14"/>
  <c r="R28" i="14"/>
  <c r="T133" i="14"/>
  <c r="T73" i="14"/>
  <c r="U104" i="14"/>
  <c r="S79" i="14"/>
  <c r="F27" i="14"/>
  <c r="F21" i="14"/>
  <c r="X120" i="14"/>
  <c r="T227" i="14"/>
  <c r="W131" i="14"/>
  <c r="H42" i="14"/>
  <c r="D121" i="14"/>
  <c r="B237" i="14"/>
  <c r="J29" i="14"/>
  <c r="C149" i="14"/>
  <c r="S73" i="14"/>
  <c r="R225" i="14"/>
  <c r="S114" i="14"/>
  <c r="R224" i="14"/>
  <c r="E41" i="14"/>
  <c r="S227" i="14"/>
  <c r="Q82" i="14"/>
  <c r="C141" i="14"/>
  <c r="F229" i="14"/>
  <c r="E47" i="14"/>
  <c r="D43" i="14"/>
  <c r="B229" i="14"/>
  <c r="S139" i="14"/>
  <c r="H139" i="14"/>
  <c r="X103" i="14"/>
  <c r="Q72" i="14"/>
  <c r="V111" i="14"/>
  <c r="J17" i="14"/>
  <c r="J19" i="14"/>
  <c r="S134" i="14"/>
  <c r="F51" i="14"/>
  <c r="V136" i="14"/>
  <c r="F101" i="14"/>
  <c r="B16" i="14"/>
  <c r="J28" i="14"/>
  <c r="T82" i="14"/>
  <c r="V89" i="14"/>
  <c r="C56" i="14"/>
  <c r="B113" i="14"/>
  <c r="H14" i="14"/>
  <c r="F53" i="14"/>
  <c r="I118" i="14"/>
  <c r="B233" i="14"/>
  <c r="C106" i="14"/>
  <c r="F18" i="14"/>
  <c r="L18" i="14"/>
  <c r="V109" i="14"/>
  <c r="C54" i="14"/>
  <c r="Q151" i="14"/>
  <c r="T233" i="14"/>
  <c r="S236" i="14"/>
  <c r="L26" i="14"/>
  <c r="S229" i="14"/>
  <c r="I131" i="14"/>
  <c r="C139" i="14"/>
  <c r="X111" i="14"/>
  <c r="E54" i="14"/>
  <c r="R82" i="14"/>
  <c r="W101" i="14"/>
  <c r="C145" i="14"/>
  <c r="U84" i="14"/>
  <c r="Q134" i="14"/>
  <c r="W90" i="14"/>
  <c r="C121" i="14"/>
  <c r="G116" i="14"/>
  <c r="B226" i="14"/>
  <c r="G119" i="14"/>
  <c r="R138" i="14"/>
  <c r="H54" i="14"/>
  <c r="Q83" i="14"/>
  <c r="U120" i="14"/>
  <c r="R146" i="14"/>
  <c r="F44" i="14"/>
  <c r="E134" i="14"/>
  <c r="W118" i="14"/>
  <c r="E145" i="14"/>
  <c r="E169" i="14"/>
  <c r="G181" i="14"/>
  <c r="G164" i="14"/>
  <c r="K22" i="14"/>
  <c r="Z11" i="14"/>
  <c r="Z18" i="14"/>
  <c r="T14" i="14"/>
  <c r="I164" i="14"/>
  <c r="AB18" i="14"/>
  <c r="T108" i="14"/>
  <c r="G49" i="14"/>
  <c r="C151" i="14"/>
  <c r="W116" i="14"/>
  <c r="G41" i="14"/>
  <c r="H109" i="14"/>
  <c r="F46" i="14"/>
  <c r="G121" i="14"/>
  <c r="E14" i="14"/>
  <c r="E180" i="14"/>
  <c r="V169" i="14"/>
  <c r="C193" i="14"/>
  <c r="X21" i="14"/>
  <c r="C11" i="14"/>
  <c r="R19" i="14"/>
  <c r="R24" i="14"/>
  <c r="E175" i="14"/>
  <c r="T11" i="14"/>
  <c r="Z166" i="14"/>
  <c r="T193" i="14"/>
  <c r="E195" i="14"/>
  <c r="I170" i="14"/>
  <c r="R206" i="14"/>
  <c r="K16" i="14"/>
  <c r="R209" i="14"/>
  <c r="R175" i="14"/>
  <c r="X179" i="14"/>
  <c r="T173" i="14"/>
  <c r="C14" i="14"/>
  <c r="C196" i="14"/>
  <c r="K168" i="14"/>
  <c r="AB12" i="14"/>
  <c r="R163" i="14"/>
  <c r="K169" i="14"/>
  <c r="AD18" i="14"/>
  <c r="I169" i="14"/>
  <c r="T179" i="14"/>
  <c r="T12" i="14"/>
  <c r="B222" i="14"/>
  <c r="D58" i="14"/>
  <c r="F142" i="14"/>
  <c r="Q143" i="14"/>
  <c r="T145" i="14"/>
  <c r="W87" i="14"/>
  <c r="G141" i="14"/>
  <c r="D57" i="14"/>
  <c r="W149" i="14"/>
  <c r="R73" i="14"/>
  <c r="E133" i="14"/>
  <c r="R149" i="14"/>
  <c r="F104" i="14"/>
  <c r="B24" i="14"/>
  <c r="B19" i="14"/>
  <c r="T228" i="14"/>
  <c r="V108" i="14"/>
  <c r="G108" i="14"/>
  <c r="S109" i="14"/>
  <c r="T111" i="14"/>
  <c r="T238" i="14"/>
  <c r="E52" i="14"/>
  <c r="Q79" i="14"/>
  <c r="T225" i="14"/>
  <c r="B57" i="14"/>
  <c r="B52" i="14"/>
  <c r="D48" i="14"/>
  <c r="H43" i="14"/>
  <c r="J18" i="14"/>
  <c r="F233" i="14"/>
  <c r="U73" i="14"/>
  <c r="T138" i="14"/>
  <c r="H110" i="14"/>
  <c r="F59" i="14"/>
  <c r="S111" i="14"/>
  <c r="V116" i="14"/>
  <c r="E104" i="14"/>
  <c r="H105" i="14"/>
  <c r="C53" i="14"/>
  <c r="L24" i="14"/>
  <c r="S78" i="14"/>
  <c r="N28" i="14"/>
  <c r="T88" i="14"/>
  <c r="B42" i="14"/>
  <c r="E113" i="14"/>
  <c r="V85" i="14"/>
  <c r="S119" i="14"/>
  <c r="V144" i="14"/>
  <c r="R140" i="14"/>
  <c r="X105" i="14"/>
  <c r="W121" i="14"/>
  <c r="C52" i="14"/>
  <c r="D56" i="14"/>
  <c r="S87" i="14"/>
  <c r="S120" i="14"/>
  <c r="S226" i="14"/>
  <c r="I116" i="14"/>
  <c r="L19" i="14"/>
  <c r="U146" i="14"/>
  <c r="H49" i="14"/>
  <c r="T119" i="14"/>
  <c r="R101" i="14"/>
  <c r="R78" i="14"/>
  <c r="G39" i="14"/>
  <c r="U150" i="14"/>
  <c r="W120" i="14"/>
  <c r="S88" i="14"/>
  <c r="U83" i="14"/>
  <c r="S115" i="14"/>
  <c r="T222" i="14"/>
  <c r="F22" i="14"/>
  <c r="T75" i="14"/>
  <c r="U140" i="14"/>
  <c r="H147" i="14"/>
  <c r="G106" i="14"/>
  <c r="B21" i="14"/>
  <c r="F239" i="14"/>
  <c r="F41" i="14"/>
  <c r="C105" i="14"/>
  <c r="L17" i="14"/>
  <c r="W145" i="14"/>
  <c r="F131" i="14"/>
  <c r="B134" i="14"/>
  <c r="G59" i="14"/>
  <c r="D131" i="14"/>
  <c r="E151" i="14"/>
  <c r="U145" i="14"/>
  <c r="D139" i="14"/>
  <c r="D24" i="14"/>
  <c r="E176" i="14"/>
  <c r="G174" i="14"/>
  <c r="E200" i="14"/>
  <c r="I163" i="14"/>
  <c r="T170" i="14"/>
  <c r="T18" i="14"/>
  <c r="K170" i="14"/>
  <c r="M14" i="14"/>
  <c r="X19" i="14"/>
  <c r="Z176" i="14"/>
  <c r="E18" i="14"/>
  <c r="AD29" i="14"/>
  <c r="M11" i="14"/>
  <c r="Z23" i="14"/>
  <c r="C21" i="14"/>
  <c r="AB16" i="14"/>
  <c r="T208" i="14"/>
  <c r="R165" i="14"/>
  <c r="K174" i="14"/>
  <c r="K23" i="14"/>
  <c r="I19" i="14"/>
  <c r="K173" i="14"/>
  <c r="AD13" i="14"/>
  <c r="Z17" i="14"/>
  <c r="I174" i="14"/>
  <c r="U78" i="14"/>
  <c r="W119" i="14"/>
  <c r="I113" i="14"/>
  <c r="T115" i="14"/>
  <c r="H138" i="14"/>
  <c r="R139" i="14"/>
  <c r="Q136" i="14"/>
  <c r="F14" i="14"/>
  <c r="F111" i="14"/>
  <c r="G118" i="14"/>
  <c r="I110" i="14"/>
  <c r="X17" i="14"/>
  <c r="E205" i="14"/>
  <c r="M13" i="14"/>
  <c r="T169" i="14"/>
  <c r="I18" i="14"/>
  <c r="C201" i="14"/>
  <c r="C170" i="14"/>
  <c r="E140" i="14"/>
  <c r="B141" i="14"/>
  <c r="L22" i="14"/>
  <c r="F138" i="14"/>
  <c r="U134" i="14"/>
  <c r="E49" i="14"/>
  <c r="F224" i="14"/>
  <c r="Q145" i="14"/>
  <c r="D133" i="14"/>
  <c r="H44" i="14"/>
  <c r="V87" i="14"/>
  <c r="T239" i="14"/>
  <c r="S225" i="14"/>
  <c r="B140" i="14"/>
  <c r="G111" i="14"/>
  <c r="F148" i="14"/>
  <c r="D18" i="14"/>
  <c r="F58" i="14"/>
  <c r="F114" i="14"/>
  <c r="F47" i="14"/>
  <c r="R109" i="14"/>
  <c r="T110" i="14"/>
  <c r="U110" i="14"/>
  <c r="R148" i="14"/>
  <c r="E59" i="14"/>
  <c r="H140" i="14"/>
  <c r="W138" i="14"/>
  <c r="G142" i="14"/>
  <c r="D104" i="14"/>
  <c r="F145" i="14"/>
  <c r="Q148" i="14"/>
  <c r="B53" i="14"/>
  <c r="F105" i="14"/>
  <c r="D150" i="14"/>
  <c r="I149" i="14"/>
  <c r="B148" i="14"/>
  <c r="V138" i="14"/>
  <c r="C59" i="14"/>
  <c r="W79" i="14"/>
  <c r="U75" i="14"/>
  <c r="I144" i="14"/>
  <c r="T224" i="14"/>
  <c r="I120" i="14"/>
  <c r="U136" i="14"/>
  <c r="K166" i="14"/>
  <c r="D42" i="14"/>
  <c r="H145" i="14"/>
  <c r="F52" i="14"/>
  <c r="H28" i="14"/>
  <c r="B144" i="14"/>
  <c r="B13" i="14"/>
  <c r="S135" i="14"/>
  <c r="W150" i="14"/>
  <c r="C42" i="14"/>
  <c r="H146" i="14"/>
  <c r="D116" i="14"/>
  <c r="S230" i="14"/>
  <c r="C41" i="14"/>
  <c r="E118" i="14"/>
  <c r="X23" i="14"/>
  <c r="G16" i="14"/>
  <c r="V134" i="14"/>
  <c r="H59" i="14"/>
  <c r="B131" i="14"/>
  <c r="T231" i="14"/>
  <c r="W74" i="14"/>
  <c r="F143" i="14"/>
  <c r="S104" i="14"/>
  <c r="S83" i="14"/>
  <c r="T101" i="14"/>
  <c r="C144" i="14"/>
  <c r="B104" i="14"/>
  <c r="R144" i="14"/>
  <c r="R236" i="14"/>
  <c r="F28" i="14"/>
  <c r="V133" i="14"/>
  <c r="S113" i="14"/>
  <c r="T118" i="14"/>
  <c r="C47" i="14"/>
  <c r="D47" i="14"/>
  <c r="G151" i="14"/>
  <c r="O29" i="14"/>
  <c r="M28" i="14"/>
  <c r="K26" i="14"/>
  <c r="G27" i="14"/>
  <c r="AB27" i="14"/>
  <c r="T199" i="14"/>
  <c r="T180" i="14"/>
  <c r="M27" i="14"/>
  <c r="AB19" i="14"/>
  <c r="C146" i="14"/>
  <c r="B22" i="14"/>
  <c r="H41" i="14"/>
  <c r="D114" i="14"/>
  <c r="I108" i="14"/>
  <c r="S136" i="14"/>
  <c r="T78" i="14"/>
  <c r="C116" i="14"/>
  <c r="D49" i="14"/>
  <c r="J16" i="14"/>
  <c r="D109" i="14"/>
  <c r="B108" i="14"/>
  <c r="R113" i="14"/>
  <c r="H39" i="14"/>
  <c r="F222" i="14"/>
  <c r="B43" i="14"/>
  <c r="E150" i="14"/>
  <c r="R110" i="14"/>
  <c r="H103" i="14"/>
  <c r="H131" i="14"/>
  <c r="N29" i="14"/>
  <c r="G44" i="14"/>
  <c r="H143" i="14"/>
  <c r="H104" i="14"/>
  <c r="F17" i="14"/>
  <c r="R234" i="14"/>
  <c r="C142" i="14"/>
  <c r="V103" i="14"/>
  <c r="F225" i="14"/>
  <c r="W144" i="14"/>
  <c r="G148" i="14"/>
  <c r="B224" i="14"/>
  <c r="W151" i="14"/>
  <c r="N16" i="14"/>
  <c r="E147" i="14"/>
  <c r="S228" i="14"/>
  <c r="H53" i="14"/>
  <c r="J14" i="14"/>
  <c r="U90" i="14"/>
  <c r="E56" i="14"/>
  <c r="R108" i="14"/>
  <c r="Q146" i="14"/>
  <c r="V104" i="14"/>
  <c r="F231" i="14"/>
  <c r="U121" i="14"/>
  <c r="W72" i="14"/>
  <c r="U105" i="14"/>
  <c r="C115" i="14"/>
  <c r="H12" i="14"/>
  <c r="T84" i="14"/>
  <c r="G143" i="14"/>
  <c r="I109" i="14"/>
  <c r="D44" i="14"/>
  <c r="J23" i="14"/>
  <c r="B106" i="14"/>
  <c r="T23" i="14"/>
  <c r="W140" i="14"/>
  <c r="R87" i="14"/>
  <c r="B232" i="14"/>
  <c r="V146" i="14"/>
  <c r="L21" i="14"/>
  <c r="F140" i="14"/>
  <c r="J24" i="14"/>
  <c r="H133" i="14"/>
  <c r="H115" i="14"/>
  <c r="V80" i="14"/>
  <c r="E131" i="14"/>
  <c r="U139" i="14"/>
  <c r="S74" i="14"/>
  <c r="D135" i="14"/>
  <c r="L29" i="14"/>
  <c r="S116" i="14"/>
  <c r="D105" i="14"/>
  <c r="V73" i="14"/>
  <c r="B56" i="14"/>
  <c r="O13" i="14"/>
  <c r="O16" i="14"/>
  <c r="R178" i="14"/>
  <c r="R176" i="14"/>
  <c r="AD27" i="14"/>
  <c r="H150" i="14"/>
  <c r="E135" i="14"/>
  <c r="J26" i="14"/>
  <c r="H27" i="14"/>
  <c r="V78" i="14"/>
  <c r="D53" i="14"/>
  <c r="U101" i="14"/>
  <c r="G150" i="14"/>
  <c r="S118" i="14"/>
  <c r="D143" i="14"/>
  <c r="X101" i="14"/>
  <c r="B39" i="14"/>
  <c r="U148" i="14"/>
  <c r="E119" i="14"/>
  <c r="I114" i="14"/>
  <c r="D110" i="14"/>
  <c r="U79" i="14"/>
  <c r="H142" i="14"/>
  <c r="F115" i="14"/>
  <c r="F12" i="14"/>
  <c r="W146" i="14"/>
  <c r="T109" i="14"/>
  <c r="D146" i="14"/>
  <c r="E148" i="14"/>
  <c r="S133" i="14"/>
  <c r="C48" i="14"/>
  <c r="T143" i="14"/>
  <c r="C39" i="14"/>
  <c r="F234" i="14"/>
  <c r="I142" i="14"/>
  <c r="G134" i="14"/>
  <c r="W104" i="14"/>
  <c r="AB28" i="14"/>
  <c r="K29" i="14"/>
  <c r="C23" i="14"/>
  <c r="R13" i="14"/>
  <c r="I27" i="14"/>
  <c r="H16" i="14"/>
  <c r="S151" i="14"/>
  <c r="E149" i="14"/>
  <c r="B146" i="14"/>
  <c r="T89" i="14"/>
  <c r="N13" i="14"/>
  <c r="H23" i="14"/>
  <c r="E57" i="14"/>
  <c r="F109" i="14"/>
  <c r="D14" i="14"/>
  <c r="H113" i="14"/>
  <c r="D19" i="14"/>
  <c r="C210" i="14"/>
  <c r="C168" i="14"/>
  <c r="R22" i="14"/>
  <c r="F146" i="14"/>
  <c r="V145" i="14"/>
  <c r="E103" i="14"/>
  <c r="H21" i="14"/>
  <c r="H136" i="14"/>
  <c r="V150" i="14"/>
  <c r="D151" i="14"/>
  <c r="T90" i="14"/>
  <c r="S233" i="14"/>
  <c r="N17" i="14"/>
  <c r="D111" i="14"/>
  <c r="D59" i="14"/>
  <c r="F147" i="14"/>
  <c r="R104" i="14"/>
  <c r="U138" i="14"/>
  <c r="W73" i="14"/>
  <c r="S144" i="14"/>
  <c r="F106" i="14"/>
  <c r="V118" i="14"/>
  <c r="S108" i="14"/>
  <c r="Z24" i="14"/>
  <c r="AB17" i="14"/>
  <c r="Z170" i="14"/>
  <c r="T210" i="14"/>
  <c r="X171" i="14"/>
  <c r="E16" i="14"/>
  <c r="R198" i="14"/>
  <c r="W115" i="14"/>
  <c r="T136" i="14"/>
  <c r="C110" i="14"/>
  <c r="S85" i="14"/>
  <c r="B225" i="14"/>
  <c r="E51" i="14"/>
  <c r="Q70" i="14"/>
  <c r="F108" i="14"/>
  <c r="W89" i="14"/>
  <c r="E46" i="14"/>
  <c r="H116" i="14"/>
  <c r="S141" i="14"/>
  <c r="S105" i="14"/>
  <c r="T236" i="14"/>
  <c r="I111" i="14"/>
  <c r="W109" i="14"/>
  <c r="Q140" i="14"/>
  <c r="W84" i="14"/>
  <c r="D46" i="14"/>
  <c r="B109" i="14"/>
  <c r="D136" i="14"/>
  <c r="U109" i="14"/>
  <c r="B145" i="14"/>
  <c r="U118" i="14"/>
  <c r="S143" i="14"/>
  <c r="T235" i="14"/>
  <c r="U88" i="14"/>
  <c r="R230" i="14"/>
  <c r="T87" i="14"/>
  <c r="R201" i="14"/>
  <c r="C206" i="14"/>
  <c r="G180" i="14"/>
  <c r="I24" i="14"/>
  <c r="O27" i="14"/>
  <c r="T209" i="14"/>
  <c r="J27" i="14"/>
  <c r="B17" i="14"/>
  <c r="B236" i="14"/>
  <c r="B119" i="14"/>
  <c r="E110" i="14"/>
  <c r="Q84" i="14"/>
  <c r="T74" i="14"/>
  <c r="N27" i="14"/>
  <c r="U144" i="14"/>
  <c r="S90" i="14"/>
  <c r="B49" i="14"/>
  <c r="H149" i="14"/>
  <c r="B133" i="14"/>
  <c r="J13" i="14"/>
  <c r="I139" i="14"/>
  <c r="F238" i="14"/>
  <c r="T77" i="14"/>
  <c r="E121" i="14"/>
  <c r="Q73" i="14"/>
  <c r="T134" i="14"/>
  <c r="G140" i="14"/>
  <c r="D11" i="14"/>
  <c r="E43" i="14"/>
  <c r="F135" i="14"/>
  <c r="F151" i="14"/>
  <c r="W85" i="14"/>
  <c r="V77" i="14"/>
  <c r="V74" i="14"/>
  <c r="B110" i="14"/>
  <c r="T80" i="14"/>
  <c r="V113" i="14"/>
  <c r="R222" i="14"/>
  <c r="W108" i="14"/>
  <c r="F23" i="14"/>
  <c r="E141" i="14"/>
  <c r="B18" i="14"/>
  <c r="I22" i="14"/>
  <c r="T203" i="14"/>
  <c r="AB23" i="14"/>
  <c r="R11" i="14"/>
  <c r="AD16" i="14"/>
  <c r="I178" i="14"/>
  <c r="AB21" i="14"/>
  <c r="Z179" i="14"/>
  <c r="N26" i="14"/>
  <c r="S80" i="14"/>
  <c r="C44" i="14"/>
  <c r="T104" i="14"/>
  <c r="F119" i="14"/>
  <c r="L13" i="14"/>
  <c r="C43" i="14"/>
  <c r="S231" i="14"/>
  <c r="R131" i="14"/>
  <c r="I146" i="14"/>
  <c r="H47" i="14"/>
  <c r="H120" i="14"/>
  <c r="F121" i="14"/>
  <c r="I121" i="14"/>
  <c r="R120" i="14"/>
  <c r="I104" i="14"/>
  <c r="C131" i="14"/>
  <c r="Y178" i="14" l="1"/>
  <c r="W180" i="14"/>
  <c r="S206" i="14"/>
  <c r="S168" i="14"/>
  <c r="S210" i="14"/>
  <c r="AA166" i="14"/>
  <c r="S170" i="14"/>
  <c r="S201" i="14"/>
  <c r="U205" i="14"/>
  <c r="Y174" i="14"/>
  <c r="AA173" i="14"/>
  <c r="AA174" i="14"/>
  <c r="AA170" i="14"/>
  <c r="Y163" i="14"/>
  <c r="U200" i="14"/>
  <c r="W174" i="14"/>
  <c r="U176" i="14"/>
  <c r="Y169" i="14"/>
  <c r="AA169" i="14"/>
  <c r="AA168" i="14"/>
  <c r="S196" i="14"/>
  <c r="Y170" i="14"/>
  <c r="U195" i="14"/>
  <c r="U175" i="14"/>
  <c r="S193" i="14"/>
  <c r="U180" i="14"/>
  <c r="Y164" i="14"/>
  <c r="W164" i="14"/>
  <c r="W181" i="14"/>
  <c r="U169" i="14"/>
  <c r="AA179" i="14"/>
  <c r="U181" i="14"/>
  <c r="W165" i="14"/>
  <c r="U211" i="14"/>
  <c r="U174" i="14"/>
  <c r="U208" i="14"/>
  <c r="AA176" i="14"/>
  <c r="W170" i="14"/>
  <c r="U163" i="14"/>
  <c r="AA180" i="14"/>
  <c r="U209" i="14"/>
  <c r="U199" i="14"/>
  <c r="U210" i="14"/>
  <c r="W168" i="14"/>
  <c r="U201" i="14"/>
  <c r="S175" i="14"/>
  <c r="U165" i="14"/>
  <c r="U179" i="14"/>
  <c r="AA163" i="14"/>
  <c r="U178" i="14"/>
  <c r="Y168" i="14"/>
  <c r="U204" i="14"/>
  <c r="U168" i="14"/>
  <c r="U198" i="14"/>
  <c r="W178" i="14"/>
  <c r="S176" i="14"/>
  <c r="S173" i="14"/>
  <c r="S211" i="14"/>
  <c r="W175" i="14"/>
  <c r="S181" i="14"/>
  <c r="S198" i="14"/>
  <c r="S180" i="14"/>
  <c r="Y181" i="14"/>
  <c r="Y180" i="14"/>
  <c r="Y176" i="14"/>
  <c r="Y179" i="14"/>
  <c r="U193" i="14"/>
  <c r="S199" i="14"/>
  <c r="S195" i="14"/>
  <c r="S166" i="14"/>
  <c r="U196" i="14"/>
  <c r="U206" i="14"/>
  <c r="U173" i="14"/>
  <c r="Y166" i="14"/>
  <c r="S200" i="14"/>
  <c r="W179" i="14"/>
  <c r="S178" i="14"/>
  <c r="U164" i="14"/>
  <c r="Y175" i="14"/>
  <c r="W176" i="14"/>
  <c r="U194" i="14"/>
  <c r="W163" i="14"/>
  <c r="S163" i="14"/>
  <c r="U170" i="14"/>
  <c r="AA181" i="14"/>
  <c r="S209" i="14"/>
  <c r="S171" i="14"/>
  <c r="S208" i="14"/>
  <c r="AA164" i="14"/>
  <c r="AA171" i="14"/>
  <c r="S179" i="14"/>
  <c r="S169" i="14"/>
  <c r="W171" i="14"/>
  <c r="W166" i="14"/>
  <c r="Y165" i="14"/>
  <c r="U171" i="14"/>
  <c r="AA175" i="14"/>
  <c r="AA165" i="14"/>
  <c r="Y173" i="14"/>
  <c r="S165" i="14"/>
  <c r="Y171" i="14"/>
  <c r="S205" i="14"/>
  <c r="S203" i="14"/>
  <c r="U166" i="14"/>
  <c r="AA178" i="14"/>
  <c r="S164" i="14"/>
  <c r="S174" i="14"/>
  <c r="W173" i="14"/>
  <c r="W169" i="14"/>
  <c r="S194" i="14"/>
  <c r="S204" i="14"/>
  <c r="U203" i="14"/>
  <c r="AE27" i="14"/>
  <c r="U27" i="14"/>
  <c r="U14" i="14"/>
  <c r="U26" i="14"/>
  <c r="U24" i="14"/>
  <c r="U18" i="14"/>
  <c r="U16" i="14"/>
  <c r="AC13" i="14"/>
  <c r="W12" i="14"/>
  <c r="AC24" i="14"/>
  <c r="S11" i="14"/>
  <c r="S16" i="14"/>
  <c r="U12" i="14"/>
  <c r="W17" i="14"/>
  <c r="S26" i="14"/>
  <c r="AA29" i="14"/>
  <c r="AE21" i="14"/>
  <c r="S17" i="14"/>
  <c r="AE18" i="14"/>
  <c r="W19" i="14"/>
  <c r="AA19" i="14"/>
  <c r="AC22" i="14"/>
  <c r="Y17" i="14"/>
  <c r="AA28" i="14"/>
  <c r="Y28" i="14"/>
  <c r="W23" i="14"/>
  <c r="AA12" i="14"/>
  <c r="AA13" i="14"/>
  <c r="AC27" i="14"/>
  <c r="AE17" i="14"/>
  <c r="AE26" i="14"/>
  <c r="AA23" i="14"/>
  <c r="S14" i="14"/>
  <c r="AA18" i="14"/>
  <c r="AA26" i="14"/>
  <c r="AC19" i="14"/>
  <c r="AC12" i="14"/>
  <c r="S23" i="14"/>
  <c r="W24" i="14"/>
  <c r="Y12" i="14"/>
  <c r="AA17" i="14"/>
  <c r="Y19" i="14"/>
  <c r="W13" i="14"/>
  <c r="Y22" i="14"/>
  <c r="AE12" i="14"/>
  <c r="Y18" i="14"/>
  <c r="S19" i="14"/>
  <c r="AE19" i="14"/>
  <c r="AC21" i="14"/>
  <c r="S27" i="14"/>
  <c r="Y26" i="14"/>
  <c r="W22" i="14"/>
  <c r="U21" i="14"/>
  <c r="U13" i="14"/>
  <c r="W21" i="14"/>
  <c r="U17" i="14"/>
  <c r="S28" i="14"/>
  <c r="AA14" i="14"/>
  <c r="S24" i="14"/>
  <c r="U23" i="14"/>
  <c r="Y27" i="14"/>
  <c r="W29" i="14"/>
  <c r="AE11" i="14"/>
  <c r="U28" i="14"/>
  <c r="U11" i="14"/>
  <c r="W11" i="14"/>
  <c r="AA22" i="14"/>
  <c r="Y23" i="14"/>
  <c r="AC14" i="14"/>
  <c r="AE14" i="14"/>
  <c r="W28" i="14"/>
  <c r="U29" i="14"/>
  <c r="W27" i="14"/>
  <c r="Y11" i="14"/>
  <c r="S12" i="14"/>
  <c r="AC18" i="14"/>
  <c r="AA21" i="14"/>
  <c r="Y24" i="14"/>
  <c r="S29" i="14"/>
  <c r="AC23" i="14"/>
  <c r="Y21" i="14"/>
  <c r="AA24" i="14"/>
  <c r="S13" i="14"/>
  <c r="AE13" i="14"/>
  <c r="AC28" i="14"/>
  <c r="S18" i="14"/>
  <c r="AC16" i="14"/>
  <c r="AA16" i="14"/>
  <c r="AE24" i="14"/>
  <c r="AC17" i="14"/>
  <c r="AC11" i="14"/>
  <c r="S22" i="14"/>
  <c r="Y29" i="14"/>
  <c r="AA27" i="14"/>
  <c r="W18" i="14"/>
  <c r="AE16" i="14"/>
  <c r="W14" i="14"/>
  <c r="Y14" i="14"/>
  <c r="AE23" i="14"/>
  <c r="Y13" i="14"/>
  <c r="AC26" i="14"/>
  <c r="W16" i="14"/>
  <c r="U19" i="14"/>
  <c r="U22" i="14"/>
  <c r="AE28" i="14"/>
  <c r="AE29" i="14"/>
  <c r="W26" i="14"/>
  <c r="AA11" i="14"/>
  <c r="AE22" i="14"/>
  <c r="Y16" i="14"/>
  <c r="S21" i="14"/>
  <c r="V222" i="14"/>
  <c r="F171" i="14"/>
  <c r="AF171" i="14" s="1"/>
  <c r="G80" i="14"/>
  <c r="AA235" i="14"/>
  <c r="W235" i="14"/>
  <c r="H176" i="14"/>
  <c r="AG176" i="14" s="1"/>
  <c r="AK164" i="14"/>
  <c r="H181" i="14"/>
  <c r="AG181" i="14" s="1"/>
  <c r="J181" i="14"/>
  <c r="AI181" i="14" s="1"/>
  <c r="D70" i="14"/>
  <c r="C84" i="14"/>
  <c r="D174" i="14"/>
  <c r="AE174" i="14" s="1"/>
  <c r="AP168" i="14"/>
  <c r="AN163" i="14"/>
  <c r="AP171" i="14"/>
  <c r="D85" i="14"/>
  <c r="W239" i="14"/>
  <c r="AA239" i="14"/>
  <c r="C82" i="21"/>
  <c r="H79" i="14"/>
  <c r="W236" i="14"/>
  <c r="AA236" i="14"/>
  <c r="Z234" i="14"/>
  <c r="V234" i="14"/>
  <c r="B84" i="14"/>
  <c r="H89" i="14"/>
  <c r="H222" i="14"/>
  <c r="X222" i="14"/>
  <c r="F169" i="14"/>
  <c r="AF169" i="14" s="1"/>
  <c r="G85" i="14"/>
  <c r="AM170" i="14"/>
  <c r="Z233" i="14"/>
  <c r="V233" i="14"/>
  <c r="D83" i="14"/>
  <c r="D163" i="14"/>
  <c r="AE163" i="14" s="1"/>
  <c r="AM174" i="14"/>
  <c r="AA225" i="14"/>
  <c r="W225" i="14"/>
  <c r="AL181" i="14"/>
  <c r="D208" i="14"/>
  <c r="AE208" i="14" s="1"/>
  <c r="G74" i="14"/>
  <c r="G82" i="14"/>
  <c r="G75" i="21"/>
  <c r="F172" i="21"/>
  <c r="X239" i="14"/>
  <c r="B181" i="14"/>
  <c r="AD181" i="14" s="1"/>
  <c r="AM176" i="14"/>
  <c r="F79" i="14"/>
  <c r="AM166" i="14"/>
  <c r="C80" i="14"/>
  <c r="B175" i="21"/>
  <c r="F181" i="14"/>
  <c r="AF181" i="14" s="1"/>
  <c r="D176" i="14"/>
  <c r="AE176" i="14" s="1"/>
  <c r="X235" i="14"/>
  <c r="H236" i="21"/>
  <c r="F161" i="14"/>
  <c r="H169" i="14"/>
  <c r="AG169" i="14" s="1"/>
  <c r="AK195" i="14"/>
  <c r="F174" i="14"/>
  <c r="AF174" i="14" s="1"/>
  <c r="X230" i="14"/>
  <c r="AJ203" i="14"/>
  <c r="AL163" i="14"/>
  <c r="D90" i="14"/>
  <c r="H75" i="14"/>
  <c r="D178" i="14"/>
  <c r="AE178" i="14" s="1"/>
  <c r="AM181" i="14"/>
  <c r="AN178" i="14"/>
  <c r="D73" i="14"/>
  <c r="AB235" i="14"/>
  <c r="B200" i="14"/>
  <c r="AD200" i="14" s="1"/>
  <c r="E84" i="14"/>
  <c r="H232" i="21"/>
  <c r="D72" i="21"/>
  <c r="H75" i="21"/>
  <c r="D193" i="21"/>
  <c r="B166" i="14"/>
  <c r="AD166" i="14" s="1"/>
  <c r="H170" i="14"/>
  <c r="AG170" i="14" s="1"/>
  <c r="W229" i="14"/>
  <c r="AA229" i="14"/>
  <c r="U232" i="14"/>
  <c r="C77" i="21"/>
  <c r="AK175" i="14"/>
  <c r="AM164" i="14"/>
  <c r="H166" i="14"/>
  <c r="AG166" i="14" s="1"/>
  <c r="E83" i="14"/>
  <c r="D199" i="14"/>
  <c r="AE199" i="14" s="1"/>
  <c r="F168" i="14"/>
  <c r="AF168" i="14" s="1"/>
  <c r="X229" i="14"/>
  <c r="AJ204" i="14"/>
  <c r="B206" i="14"/>
  <c r="AD206" i="14" s="1"/>
  <c r="B161" i="14"/>
  <c r="E77" i="14"/>
  <c r="AJ208" i="14"/>
  <c r="U224" i="14"/>
  <c r="B198" i="21"/>
  <c r="F195" i="14"/>
  <c r="AF195" i="14" s="1"/>
  <c r="V231" i="14"/>
  <c r="Z231" i="14"/>
  <c r="H84" i="14"/>
  <c r="AJ201" i="14"/>
  <c r="B171" i="14"/>
  <c r="AD171" i="14" s="1"/>
  <c r="D179" i="14"/>
  <c r="U238" i="14"/>
  <c r="AK181" i="14"/>
  <c r="E75" i="14"/>
  <c r="E88" i="14"/>
  <c r="AJ193" i="14"/>
  <c r="AK176" i="14"/>
  <c r="AB229" i="14"/>
  <c r="E82" i="14"/>
  <c r="B77" i="14"/>
  <c r="F164" i="14"/>
  <c r="AF164" i="14" s="1"/>
  <c r="H170" i="21"/>
  <c r="H74" i="14"/>
  <c r="C73" i="14"/>
  <c r="C90" i="14"/>
  <c r="J165" i="14"/>
  <c r="AI165" i="14" s="1"/>
  <c r="F82" i="14"/>
  <c r="AK178" i="14"/>
  <c r="C75" i="14"/>
  <c r="AK211" i="14"/>
  <c r="B201" i="14"/>
  <c r="AD201" i="14" s="1"/>
  <c r="AB226" i="14"/>
  <c r="F201" i="14"/>
  <c r="AF201" i="14" s="1"/>
  <c r="D168" i="14"/>
  <c r="AE168" i="14" s="1"/>
  <c r="C88" i="14"/>
  <c r="Z235" i="14"/>
  <c r="V235" i="14"/>
  <c r="B72" i="14"/>
  <c r="H171" i="14"/>
  <c r="AG171" i="14" s="1"/>
  <c r="D89" i="21"/>
  <c r="H178" i="14"/>
  <c r="AG178" i="14" s="1"/>
  <c r="D74" i="14"/>
  <c r="D191" i="14"/>
  <c r="D206" i="14"/>
  <c r="AE206" i="14" s="1"/>
  <c r="D209" i="14"/>
  <c r="AE209" i="14" s="1"/>
  <c r="F87" i="14"/>
  <c r="G70" i="14"/>
  <c r="X231" i="14"/>
  <c r="X238" i="14"/>
  <c r="E70" i="14"/>
  <c r="H72" i="14"/>
  <c r="C83" i="14"/>
  <c r="AK171" i="14"/>
  <c r="D207" i="21"/>
  <c r="F182" i="21"/>
  <c r="B193" i="14"/>
  <c r="AD193" i="14" s="1"/>
  <c r="J170" i="21"/>
  <c r="F82" i="21"/>
  <c r="E89" i="21"/>
  <c r="D87" i="21"/>
  <c r="C72" i="21"/>
  <c r="F173" i="21"/>
  <c r="D85" i="21"/>
  <c r="C78" i="21"/>
  <c r="F180" i="21"/>
  <c r="B178" i="14"/>
  <c r="AD178" i="14" s="1"/>
  <c r="U225" i="14"/>
  <c r="G84" i="14"/>
  <c r="AJ205" i="14"/>
  <c r="B79" i="14"/>
  <c r="F72" i="14"/>
  <c r="B169" i="14"/>
  <c r="AD169" i="14" s="1"/>
  <c r="H164" i="14"/>
  <c r="AG164" i="14" s="1"/>
  <c r="Z230" i="14"/>
  <c r="V230" i="14"/>
  <c r="F206" i="14"/>
  <c r="AF206" i="14" s="1"/>
  <c r="AN176" i="14"/>
  <c r="F198" i="14"/>
  <c r="AF198" i="14" s="1"/>
  <c r="AP163" i="14"/>
  <c r="B74" i="14"/>
  <c r="AM178" i="14"/>
  <c r="X236" i="14"/>
  <c r="Z228" i="14"/>
  <c r="V228" i="14"/>
  <c r="X232" i="14"/>
  <c r="F173" i="14"/>
  <c r="AF173" i="14" s="1"/>
  <c r="H73" i="14"/>
  <c r="W226" i="14"/>
  <c r="AA226" i="14"/>
  <c r="F165" i="14"/>
  <c r="AF165" i="14" s="1"/>
  <c r="F163" i="14"/>
  <c r="AF163" i="14" s="1"/>
  <c r="U227" i="14"/>
  <c r="F80" i="14"/>
  <c r="F89" i="14"/>
  <c r="B75" i="14"/>
  <c r="F193" i="14"/>
  <c r="AF193" i="14" s="1"/>
  <c r="D82" i="14"/>
  <c r="D208" i="21"/>
  <c r="F72" i="21"/>
  <c r="B85" i="21"/>
  <c r="J176" i="21"/>
  <c r="B70" i="21"/>
  <c r="E70" i="21"/>
  <c r="F73" i="21"/>
  <c r="J183" i="21"/>
  <c r="B213" i="21"/>
  <c r="AK196" i="14"/>
  <c r="H80" i="14"/>
  <c r="B174" i="14"/>
  <c r="AD174" i="14" s="1"/>
  <c r="D206" i="21"/>
  <c r="J177" i="21"/>
  <c r="H224" i="21"/>
  <c r="AB233" i="14"/>
  <c r="AK198" i="14"/>
  <c r="B80" i="14"/>
  <c r="AB222" i="14"/>
  <c r="W234" i="14"/>
  <c r="AA234" i="14"/>
  <c r="AB228" i="14"/>
  <c r="AA230" i="14"/>
  <c r="W230" i="14"/>
  <c r="B191" i="14"/>
  <c r="F78" i="14"/>
  <c r="AL176" i="14"/>
  <c r="U228" i="14"/>
  <c r="X227" i="14"/>
  <c r="J161" i="14"/>
  <c r="U235" i="14"/>
  <c r="B168" i="14"/>
  <c r="AD168" i="14" s="1"/>
  <c r="AK199" i="14"/>
  <c r="AP169" i="14"/>
  <c r="D211" i="14"/>
  <c r="AE211" i="14" s="1"/>
  <c r="F85" i="14"/>
  <c r="C89" i="14"/>
  <c r="H90" i="14"/>
  <c r="AB234" i="14"/>
  <c r="U237" i="14"/>
  <c r="AM168" i="14"/>
  <c r="B203" i="14"/>
  <c r="AD203" i="14" s="1"/>
  <c r="H88" i="14"/>
  <c r="B205" i="14"/>
  <c r="AD205" i="14" s="1"/>
  <c r="G77" i="14"/>
  <c r="D165" i="14"/>
  <c r="AE165" i="14" s="1"/>
  <c r="H82" i="14"/>
  <c r="D80" i="14"/>
  <c r="AB224" i="14"/>
  <c r="F74" i="14"/>
  <c r="W228" i="14"/>
  <c r="AA228" i="14"/>
  <c r="AK193" i="14"/>
  <c r="H85" i="21"/>
  <c r="F75" i="21"/>
  <c r="B82" i="21"/>
  <c r="B183" i="21"/>
  <c r="G85" i="21"/>
  <c r="U233" i="14"/>
  <c r="H173" i="14"/>
  <c r="AG173" i="14" s="1"/>
  <c r="B204" i="14"/>
  <c r="AD204" i="14" s="1"/>
  <c r="D178" i="21"/>
  <c r="AL165" i="14"/>
  <c r="J174" i="14"/>
  <c r="AI174" i="14" s="1"/>
  <c r="AN169" i="14"/>
  <c r="G88" i="14"/>
  <c r="H163" i="14"/>
  <c r="AG163" i="14" s="1"/>
  <c r="X237" i="14"/>
  <c r="B210" i="14"/>
  <c r="AD210" i="14" s="1"/>
  <c r="D200" i="14"/>
  <c r="AE200" i="14" s="1"/>
  <c r="V229" i="14"/>
  <c r="Z229" i="14"/>
  <c r="B170" i="14"/>
  <c r="AD170" i="14" s="1"/>
  <c r="AL171" i="14"/>
  <c r="AJ199" i="14"/>
  <c r="F211" i="14"/>
  <c r="AF211" i="14" s="1"/>
  <c r="AJ211" i="14"/>
  <c r="U222" i="14"/>
  <c r="D175" i="14"/>
  <c r="AE175" i="14" s="1"/>
  <c r="AK208" i="14"/>
  <c r="Z232" i="14"/>
  <c r="V232" i="14"/>
  <c r="Z238" i="14"/>
  <c r="V238" i="14"/>
  <c r="F178" i="14"/>
  <c r="AF178" i="14" s="1"/>
  <c r="D196" i="14"/>
  <c r="AE196" i="14" s="1"/>
  <c r="H224" i="14"/>
  <c r="X224" i="14"/>
  <c r="AB225" i="14"/>
  <c r="AN164" i="14"/>
  <c r="H77" i="14"/>
  <c r="G79" i="14"/>
  <c r="H78" i="21"/>
  <c r="B165" i="21"/>
  <c r="B79" i="21"/>
  <c r="H226" i="21"/>
  <c r="D165" i="21"/>
  <c r="E84" i="21"/>
  <c r="H227" i="21"/>
  <c r="B88" i="21"/>
  <c r="AN171" i="14"/>
  <c r="E87" i="14"/>
  <c r="AN165" i="14"/>
  <c r="AB238" i="14"/>
  <c r="G89" i="14"/>
  <c r="F194" i="14"/>
  <c r="AF194" i="14" s="1"/>
  <c r="J169" i="14"/>
  <c r="AI169" i="14" s="1"/>
  <c r="G78" i="21"/>
  <c r="G77" i="21"/>
  <c r="F193" i="21"/>
  <c r="F90" i="21"/>
  <c r="B197" i="21"/>
  <c r="F165" i="21"/>
  <c r="B165" i="14"/>
  <c r="AD165" i="14" s="1"/>
  <c r="U239" i="14"/>
  <c r="B164" i="14"/>
  <c r="AD164" i="14" s="1"/>
  <c r="AK194" i="14"/>
  <c r="AN175" i="14"/>
  <c r="D166" i="14"/>
  <c r="AE166" i="14" s="1"/>
  <c r="AP175" i="14"/>
  <c r="AL164" i="14"/>
  <c r="B211" i="14"/>
  <c r="AD211" i="14" s="1"/>
  <c r="AK163" i="14"/>
  <c r="B83" i="14"/>
  <c r="B73" i="14"/>
  <c r="F88" i="14"/>
  <c r="G87" i="14"/>
  <c r="AL166" i="14"/>
  <c r="B163" i="14"/>
  <c r="AD163" i="14" s="1"/>
  <c r="B70" i="14"/>
  <c r="C87" i="14"/>
  <c r="V225" i="14"/>
  <c r="Z225" i="14"/>
  <c r="E85" i="14"/>
  <c r="D72" i="14"/>
  <c r="D88" i="14"/>
  <c r="AB232" i="14"/>
  <c r="AP170" i="14"/>
  <c r="AB236" i="14"/>
  <c r="AL174" i="14"/>
  <c r="E80" i="14"/>
  <c r="AP181" i="14"/>
  <c r="J175" i="14"/>
  <c r="AI175" i="14" s="1"/>
  <c r="AJ198" i="14"/>
  <c r="U236" i="14"/>
  <c r="C79" i="21"/>
  <c r="D170" i="21"/>
  <c r="F85" i="21"/>
  <c r="F84" i="21"/>
  <c r="B196" i="21"/>
  <c r="D194" i="14"/>
  <c r="AE194" i="14" s="1"/>
  <c r="D77" i="14"/>
  <c r="F176" i="14"/>
  <c r="AF176" i="14" s="1"/>
  <c r="AK210" i="14"/>
  <c r="B196" i="14"/>
  <c r="AD196" i="14" s="1"/>
  <c r="B85" i="14"/>
  <c r="H180" i="14"/>
  <c r="W224" i="14"/>
  <c r="AA224" i="14"/>
  <c r="J176" i="14"/>
  <c r="AI176" i="14" s="1"/>
  <c r="U229" i="14"/>
  <c r="AB237" i="14"/>
  <c r="AK209" i="14"/>
  <c r="B90" i="14"/>
  <c r="F170" i="14"/>
  <c r="AF170" i="14" s="1"/>
  <c r="B89" i="14"/>
  <c r="AN173" i="14"/>
  <c r="J164" i="14"/>
  <c r="AI164" i="14" s="1"/>
  <c r="H165" i="14"/>
  <c r="AG165" i="14" s="1"/>
  <c r="H87" i="14"/>
  <c r="D204" i="14"/>
  <c r="AE204" i="14" s="1"/>
  <c r="E78" i="14"/>
  <c r="F175" i="14"/>
  <c r="AF175" i="14" s="1"/>
  <c r="F166" i="14"/>
  <c r="AF166" i="14" s="1"/>
  <c r="AL178" i="14"/>
  <c r="X226" i="14"/>
  <c r="AM165" i="14"/>
  <c r="B77" i="21"/>
  <c r="G87" i="21"/>
  <c r="F79" i="21"/>
  <c r="G84" i="21"/>
  <c r="F78" i="21"/>
  <c r="J182" i="21"/>
  <c r="G89" i="21"/>
  <c r="D83" i="21"/>
  <c r="H80" i="21"/>
  <c r="G79" i="21"/>
  <c r="B211" i="21"/>
  <c r="F83" i="21"/>
  <c r="Z222" i="14"/>
  <c r="H179" i="14"/>
  <c r="D89" i="14"/>
  <c r="AP176" i="14"/>
  <c r="D161" i="14"/>
  <c r="C82" i="14"/>
  <c r="C79" i="14"/>
  <c r="D181" i="14"/>
  <c r="AE181" i="14" s="1"/>
  <c r="B194" i="14"/>
  <c r="AD194" i="14" s="1"/>
  <c r="AM169" i="14"/>
  <c r="H78" i="14"/>
  <c r="V236" i="14"/>
  <c r="Z236" i="14"/>
  <c r="D87" i="14"/>
  <c r="U231" i="14"/>
  <c r="F73" i="14"/>
  <c r="G90" i="14"/>
  <c r="AK204" i="14"/>
  <c r="J180" i="14"/>
  <c r="AI180" i="14" s="1"/>
  <c r="D79" i="14"/>
  <c r="AP180" i="14"/>
  <c r="F196" i="14"/>
  <c r="AF196" i="14" s="1"/>
  <c r="AB227" i="14"/>
  <c r="X233" i="14"/>
  <c r="B209" i="14"/>
  <c r="AD209" i="14" s="1"/>
  <c r="D203" i="14"/>
  <c r="AE203" i="14" s="1"/>
  <c r="H70" i="14"/>
  <c r="F191" i="14"/>
  <c r="AJ195" i="14"/>
  <c r="F199" i="14"/>
  <c r="AF199" i="14" s="1"/>
  <c r="X225" i="14"/>
  <c r="H174" i="14"/>
  <c r="AG174" i="14" s="1"/>
  <c r="C84" i="21"/>
  <c r="B84" i="21"/>
  <c r="B83" i="21"/>
  <c r="E72" i="21"/>
  <c r="D202" i="21"/>
  <c r="F183" i="21"/>
  <c r="D200" i="21"/>
  <c r="F178" i="21"/>
  <c r="E79" i="21"/>
  <c r="D182" i="21"/>
  <c r="H237" i="21"/>
  <c r="B193" i="21"/>
  <c r="D79" i="21"/>
  <c r="H88" i="21"/>
  <c r="F176" i="21"/>
  <c r="E78" i="21"/>
  <c r="AA232" i="14"/>
  <c r="W232" i="14"/>
  <c r="AM171" i="14"/>
  <c r="AP173" i="14"/>
  <c r="C85" i="14"/>
  <c r="AN166" i="14"/>
  <c r="E74" i="14"/>
  <c r="AJ196" i="14"/>
  <c r="AJ194" i="14"/>
  <c r="AK203" i="14"/>
  <c r="B78" i="14"/>
  <c r="D201" i="14"/>
  <c r="AE201" i="14" s="1"/>
  <c r="W238" i="14"/>
  <c r="AA238" i="14"/>
  <c r="E72" i="14"/>
  <c r="F203" i="14"/>
  <c r="AF203" i="14" s="1"/>
  <c r="B176" i="14"/>
  <c r="AD176" i="14" s="1"/>
  <c r="AM173" i="14"/>
  <c r="G83" i="14"/>
  <c r="B88" i="14"/>
  <c r="B173" i="14"/>
  <c r="AD173" i="14" s="1"/>
  <c r="AA227" i="14"/>
  <c r="W227" i="14"/>
  <c r="F75" i="14"/>
  <c r="H85" i="14"/>
  <c r="F208" i="14"/>
  <c r="AF208" i="14" s="1"/>
  <c r="C78" i="14"/>
  <c r="F180" i="14"/>
  <c r="D195" i="14"/>
  <c r="AE195" i="14" s="1"/>
  <c r="U234" i="14"/>
  <c r="D193" i="14"/>
  <c r="AE193" i="14" s="1"/>
  <c r="F70" i="14"/>
  <c r="AP174" i="14"/>
  <c r="AM175" i="14"/>
  <c r="H180" i="21"/>
  <c r="C85" i="21"/>
  <c r="B210" i="21"/>
  <c r="D78" i="21"/>
  <c r="H167" i="21"/>
  <c r="G70" i="21"/>
  <c r="E90" i="21"/>
  <c r="C73" i="21"/>
  <c r="J167" i="21"/>
  <c r="C87" i="21"/>
  <c r="D163" i="21"/>
  <c r="B202" i="21"/>
  <c r="C70" i="21"/>
  <c r="E80" i="21"/>
  <c r="E83" i="21"/>
  <c r="H168" i="21"/>
  <c r="C90" i="21"/>
  <c r="J178" i="21"/>
  <c r="J181" i="21"/>
  <c r="B195" i="14"/>
  <c r="AD195" i="14" s="1"/>
  <c r="AK205" i="14"/>
  <c r="AP166" i="14"/>
  <c r="Z237" i="14"/>
  <c r="V237" i="14"/>
  <c r="AB230" i="14"/>
  <c r="AN181" i="14"/>
  <c r="AL168" i="14"/>
  <c r="J170" i="14"/>
  <c r="AI170" i="14" s="1"/>
  <c r="B199" i="14"/>
  <c r="AD199" i="14" s="1"/>
  <c r="H175" i="14"/>
  <c r="AG175" i="14" s="1"/>
  <c r="J168" i="14"/>
  <c r="AI168" i="14" s="1"/>
  <c r="G73" i="14"/>
  <c r="G72" i="14"/>
  <c r="E89" i="14"/>
  <c r="D84" i="14"/>
  <c r="D170" i="14"/>
  <c r="AE170" i="14" s="1"/>
  <c r="G75" i="14"/>
  <c r="F84" i="14"/>
  <c r="D198" i="14"/>
  <c r="AE198" i="14" s="1"/>
  <c r="J166" i="14"/>
  <c r="AI166" i="14" s="1"/>
  <c r="AP178" i="14"/>
  <c r="F90" i="14"/>
  <c r="X234" i="14"/>
  <c r="Y234" i="14"/>
  <c r="Z224" i="14"/>
  <c r="V224" i="14"/>
  <c r="AB239" i="14"/>
  <c r="C74" i="14"/>
  <c r="AK169" i="14"/>
  <c r="E90" i="14"/>
  <c r="J173" i="14"/>
  <c r="AI173" i="14" s="1"/>
  <c r="V227" i="14"/>
  <c r="Z227" i="14"/>
  <c r="F204" i="14"/>
  <c r="AF204" i="14" s="1"/>
  <c r="B208" i="14"/>
  <c r="AD208" i="14" s="1"/>
  <c r="B75" i="21"/>
  <c r="F80" i="21"/>
  <c r="D213" i="21"/>
  <c r="E88" i="21"/>
  <c r="F70" i="21"/>
  <c r="F166" i="21"/>
  <c r="F163" i="21"/>
  <c r="B72" i="21"/>
  <c r="H87" i="21"/>
  <c r="E85" i="21"/>
  <c r="C74" i="21"/>
  <c r="H165" i="21"/>
  <c r="B173" i="21"/>
  <c r="H79" i="21"/>
  <c r="G73" i="21"/>
  <c r="B178" i="21"/>
  <c r="X228" i="14"/>
  <c r="AP164" i="14"/>
  <c r="AK201" i="14"/>
  <c r="W222" i="14"/>
  <c r="AA222" i="14"/>
  <c r="W231" i="14"/>
  <c r="AA231" i="14"/>
  <c r="AK174" i="14"/>
  <c r="AK170" i="14"/>
  <c r="AP165" i="14"/>
  <c r="AN174" i="14"/>
  <c r="AK173" i="14"/>
  <c r="AK200" i="14"/>
  <c r="C77" i="14"/>
  <c r="B198" i="14"/>
  <c r="AD198" i="14" s="1"/>
  <c r="U230" i="14"/>
  <c r="D78" i="14"/>
  <c r="AJ200" i="14"/>
  <c r="AK206" i="14"/>
  <c r="B82" i="14"/>
  <c r="AN168" i="14"/>
  <c r="D164" i="14"/>
  <c r="AE164" i="14" s="1"/>
  <c r="AN170" i="14"/>
  <c r="D173" i="14"/>
  <c r="AE173" i="14" s="1"/>
  <c r="H73" i="21"/>
  <c r="F168" i="21"/>
  <c r="D77" i="21"/>
  <c r="H234" i="21"/>
  <c r="H173" i="21"/>
  <c r="G82" i="21"/>
  <c r="D211" i="21"/>
  <c r="B212" i="21"/>
  <c r="H177" i="21"/>
  <c r="H171" i="21"/>
  <c r="D74" i="21"/>
  <c r="H230" i="21"/>
  <c r="H82" i="21"/>
  <c r="E87" i="21"/>
  <c r="H229" i="21"/>
  <c r="C75" i="21"/>
  <c r="F87" i="21"/>
  <c r="B90" i="21"/>
  <c r="D166" i="21"/>
  <c r="E82" i="21"/>
  <c r="F74" i="21"/>
  <c r="D90" i="21"/>
  <c r="B203" i="21"/>
  <c r="E75" i="21"/>
  <c r="H241" i="21"/>
  <c r="B89" i="21"/>
  <c r="D198" i="21"/>
  <c r="B201" i="21"/>
  <c r="J165" i="21"/>
  <c r="H83" i="21"/>
  <c r="E74" i="21"/>
  <c r="B87" i="21"/>
  <c r="D84" i="21"/>
  <c r="C80" i="21"/>
  <c r="B73" i="21"/>
  <c r="D181" i="21"/>
  <c r="V226" i="14"/>
  <c r="Z226" i="14"/>
  <c r="D180" i="14"/>
  <c r="J163" i="14"/>
  <c r="AI163" i="14" s="1"/>
  <c r="F77" i="14"/>
  <c r="F83" i="14"/>
  <c r="AL173" i="14"/>
  <c r="H168" i="14"/>
  <c r="AG168" i="14" s="1"/>
  <c r="D169" i="14"/>
  <c r="AE169" i="14" s="1"/>
  <c r="C72" i="14"/>
  <c r="AJ209" i="14"/>
  <c r="B175" i="14"/>
  <c r="AD175" i="14" s="1"/>
  <c r="AK168" i="14"/>
  <c r="F209" i="14"/>
  <c r="AF209" i="14" s="1"/>
  <c r="AK165" i="14"/>
  <c r="U226" i="14"/>
  <c r="J178" i="14"/>
  <c r="AI178" i="14" s="1"/>
  <c r="J171" i="14"/>
  <c r="AI171" i="14" s="1"/>
  <c r="B163" i="21"/>
  <c r="B167" i="21"/>
  <c r="H240" i="21"/>
  <c r="D201" i="21"/>
  <c r="F181" i="21"/>
  <c r="D172" i="21"/>
  <c r="C83" i="21"/>
  <c r="B80" i="21"/>
  <c r="B206" i="21"/>
  <c r="H74" i="21"/>
  <c r="F77" i="21"/>
  <c r="H176" i="21"/>
  <c r="B74" i="21"/>
  <c r="B207" i="21"/>
  <c r="D167" i="21"/>
  <c r="H90" i="21"/>
  <c r="E77" i="21"/>
  <c r="H228" i="21"/>
  <c r="D173" i="21"/>
  <c r="H231" i="21"/>
  <c r="J175" i="21"/>
  <c r="D70" i="21"/>
  <c r="H70" i="21"/>
  <c r="D210" i="21"/>
  <c r="F177" i="21"/>
  <c r="D175" i="21"/>
  <c r="D205" i="21"/>
  <c r="J173" i="21"/>
  <c r="H77" i="21"/>
  <c r="D196" i="21"/>
  <c r="AL170" i="14"/>
  <c r="AP179" i="14"/>
  <c r="B180" i="14"/>
  <c r="F205" i="14"/>
  <c r="AF205" i="14" s="1"/>
  <c r="F210" i="14"/>
  <c r="AF210" i="14" s="1"/>
  <c r="D210" i="14"/>
  <c r="AE210" i="14" s="1"/>
  <c r="D171" i="14"/>
  <c r="AE171" i="14" s="1"/>
  <c r="E79" i="14"/>
  <c r="AJ206" i="14"/>
  <c r="B179" i="14"/>
  <c r="Z239" i="14"/>
  <c r="V239" i="14"/>
  <c r="AL175" i="14"/>
  <c r="F179" i="14"/>
  <c r="F200" i="14"/>
  <c r="AF200" i="14" s="1"/>
  <c r="B176" i="21"/>
  <c r="F170" i="21"/>
  <c r="B177" i="21"/>
  <c r="E73" i="21"/>
  <c r="H183" i="21"/>
  <c r="D168" i="21"/>
  <c r="B200" i="21"/>
  <c r="D177" i="21"/>
  <c r="H238" i="21"/>
  <c r="H84" i="21"/>
  <c r="B172" i="21"/>
  <c r="B182" i="21"/>
  <c r="B205" i="21"/>
  <c r="H72" i="21"/>
  <c r="B166" i="21"/>
  <c r="D183" i="21"/>
  <c r="J166" i="21"/>
  <c r="B195" i="21"/>
  <c r="G83" i="21"/>
  <c r="G90" i="21"/>
  <c r="G72" i="21"/>
  <c r="D88" i="21"/>
  <c r="F175" i="21"/>
  <c r="F88" i="21"/>
  <c r="H239" i="21"/>
  <c r="J163" i="21"/>
  <c r="J171" i="21"/>
  <c r="H163" i="21"/>
  <c r="H182" i="21"/>
  <c r="D73" i="21"/>
  <c r="B208" i="21"/>
  <c r="D212" i="21"/>
  <c r="J172" i="21"/>
  <c r="F171" i="21"/>
  <c r="AJ210" i="14"/>
  <c r="D205" i="14"/>
  <c r="AE205" i="14" s="1"/>
  <c r="H83" i="14"/>
  <c r="AB231" i="14"/>
  <c r="AA237" i="14"/>
  <c r="W237" i="14"/>
  <c r="AL169" i="14"/>
  <c r="B87" i="14"/>
  <c r="C70" i="14"/>
  <c r="AA233" i="14"/>
  <c r="W233" i="14"/>
  <c r="AM163" i="14"/>
  <c r="AK166" i="14"/>
  <c r="E73" i="14"/>
  <c r="H161" i="14"/>
  <c r="G78" i="14"/>
  <c r="J179" i="14"/>
  <c r="AI179" i="14" s="1"/>
  <c r="D75" i="14"/>
  <c r="H175" i="21"/>
  <c r="J180" i="21"/>
  <c r="B181" i="21"/>
  <c r="H233" i="21"/>
  <c r="D203" i="21"/>
  <c r="B78" i="21"/>
  <c r="H235" i="21"/>
  <c r="G74" i="21"/>
  <c r="B170" i="21"/>
  <c r="H172" i="21"/>
  <c r="G80" i="21"/>
  <c r="H89" i="21"/>
  <c r="D171" i="21"/>
  <c r="H181" i="21"/>
  <c r="D197" i="21"/>
  <c r="H178" i="21"/>
  <c r="C88" i="21"/>
  <c r="D180" i="21"/>
  <c r="D195" i="21"/>
  <c r="D75" i="21"/>
  <c r="C89" i="21"/>
  <c r="D176" i="21"/>
  <c r="B171" i="21"/>
  <c r="F89" i="21"/>
  <c r="G88" i="21"/>
  <c r="D80" i="21"/>
  <c r="F167" i="21"/>
  <c r="B168" i="21"/>
  <c r="B180" i="21"/>
  <c r="J168" i="21"/>
  <c r="D82" i="21"/>
  <c r="H166" i="21"/>
  <c r="AH161" i="14"/>
  <c r="AL191" i="14"/>
  <c r="Y233" i="14" l="1"/>
  <c r="Y235" i="14"/>
  <c r="Y226" i="14"/>
  <c r="Y222" i="14"/>
  <c r="Y236" i="14"/>
  <c r="AC230" i="14"/>
  <c r="AC238" i="14"/>
  <c r="Y238" i="14"/>
  <c r="Y227" i="14"/>
  <c r="Y228" i="14"/>
  <c r="Y232" i="14"/>
  <c r="Y231" i="14"/>
  <c r="Y224" i="14"/>
  <c r="Y230" i="14"/>
  <c r="Y239" i="14"/>
  <c r="AC229" i="14"/>
  <c r="Y229" i="14"/>
  <c r="AC237" i="14"/>
  <c r="Y237" i="14"/>
  <c r="AC225" i="14"/>
  <c r="Y225" i="14"/>
  <c r="AE161" i="14"/>
  <c r="AC234" i="14"/>
  <c r="AC226" i="14"/>
  <c r="AC232" i="14"/>
  <c r="AC239" i="14"/>
  <c r="AF191" i="14"/>
  <c r="AC227" i="14"/>
  <c r="AE191" i="14"/>
  <c r="AC233" i="14"/>
  <c r="AG161" i="14"/>
  <c r="AC236" i="14"/>
  <c r="AC228" i="14"/>
  <c r="AK161" i="14"/>
  <c r="AC222" i="14"/>
  <c r="AI161" i="14"/>
  <c r="AD191" i="14"/>
  <c r="AN161" i="14"/>
  <c r="AC224" i="14"/>
  <c r="AF161" i="14"/>
  <c r="AM161" i="14"/>
  <c r="AK191" i="14"/>
  <c r="AC235" i="14"/>
  <c r="AJ191" i="14"/>
  <c r="AP161" i="14"/>
  <c r="AL161" i="14"/>
  <c r="AC231" i="14"/>
  <c r="AD161" i="14"/>
</calcChain>
</file>

<file path=xl/comments1.xml><?xml version="1.0" encoding="utf-8"?>
<comments xmlns="http://schemas.openxmlformats.org/spreadsheetml/2006/main">
  <authors>
    <author>jmarks</author>
  </authors>
  <commentList>
    <comment ref="C10" authorId="0">
      <text>
        <r>
          <rPr>
            <b/>
            <sz val="10"/>
            <color indexed="81"/>
            <rFont val="Tahoma"/>
            <family val="2"/>
          </rPr>
          <t>jmarks:</t>
        </r>
        <r>
          <rPr>
            <sz val="10"/>
            <color indexed="81"/>
            <rFont val="Tahoma"/>
            <family val="2"/>
          </rPr>
          <t xml:space="preserve">
Formula for regional figure to use when all states report.</t>
        </r>
      </text>
    </comment>
    <comment ref="E10" authorId="0">
      <text>
        <r>
          <rPr>
            <b/>
            <sz val="10"/>
            <color indexed="81"/>
            <rFont val="Tahoma"/>
            <family val="2"/>
          </rPr>
          <t>jmarks:</t>
        </r>
        <r>
          <rPr>
            <sz val="10"/>
            <color indexed="81"/>
            <rFont val="Tahoma"/>
            <family val="2"/>
          </rPr>
          <t xml:space="preserve">
Formula for regional figure to use when all states report.</t>
        </r>
      </text>
    </comment>
    <comment ref="G10" authorId="0">
      <text>
        <r>
          <rPr>
            <b/>
            <sz val="10"/>
            <color indexed="81"/>
            <rFont val="Tahoma"/>
            <family val="2"/>
          </rPr>
          <t>jmarks:</t>
        </r>
        <r>
          <rPr>
            <sz val="10"/>
            <color indexed="81"/>
            <rFont val="Tahoma"/>
            <family val="2"/>
          </rPr>
          <t xml:space="preserve">
Formula for regional figure to use when all states report.</t>
        </r>
      </text>
    </comment>
    <comment ref="I10" authorId="0">
      <text>
        <r>
          <rPr>
            <b/>
            <sz val="10"/>
            <color indexed="81"/>
            <rFont val="Tahoma"/>
            <family val="2"/>
          </rPr>
          <t>jmarks:</t>
        </r>
        <r>
          <rPr>
            <sz val="10"/>
            <color indexed="81"/>
            <rFont val="Tahoma"/>
            <family val="2"/>
          </rPr>
          <t xml:space="preserve">
Formula for regional figure to use when all states report.</t>
        </r>
      </text>
    </comment>
    <comment ref="K10" authorId="0">
      <text>
        <r>
          <rPr>
            <b/>
            <sz val="10"/>
            <color indexed="81"/>
            <rFont val="Tahoma"/>
            <family val="2"/>
          </rPr>
          <t>jmarks:</t>
        </r>
        <r>
          <rPr>
            <sz val="10"/>
            <color indexed="81"/>
            <rFont val="Tahoma"/>
            <family val="2"/>
          </rPr>
          <t xml:space="preserve">
Formula for regional figure to use when all states report.</t>
        </r>
      </text>
    </comment>
    <comment ref="M10" authorId="0">
      <text>
        <r>
          <rPr>
            <b/>
            <sz val="10"/>
            <color indexed="81"/>
            <rFont val="Tahoma"/>
            <family val="2"/>
          </rPr>
          <t>jmarks:</t>
        </r>
        <r>
          <rPr>
            <sz val="10"/>
            <color indexed="81"/>
            <rFont val="Tahoma"/>
            <family val="2"/>
          </rPr>
          <t xml:space="preserve">
Formula for regional figure to use when all states report.</t>
        </r>
      </text>
    </comment>
    <comment ref="O10" authorId="0">
      <text>
        <r>
          <rPr>
            <b/>
            <sz val="10"/>
            <color indexed="81"/>
            <rFont val="Tahoma"/>
            <family val="2"/>
          </rPr>
          <t>jmarks:</t>
        </r>
        <r>
          <rPr>
            <sz val="10"/>
            <color indexed="81"/>
            <rFont val="Tahoma"/>
            <family val="2"/>
          </rPr>
          <t xml:space="preserve">
Formula for regional figure to use when all states report.</t>
        </r>
      </text>
    </comment>
    <comment ref="A162" authorId="0">
      <text>
        <r>
          <rPr>
            <b/>
            <sz val="10"/>
            <color indexed="81"/>
            <rFont val="Tahoma"/>
            <family val="2"/>
          </rPr>
          <t>jmarks:</t>
        </r>
        <r>
          <rPr>
            <sz val="10"/>
            <color indexed="81"/>
            <rFont val="Tahoma"/>
            <family val="2"/>
          </rPr>
          <t xml:space="preserve">
Formulas for regional figures to use when all states report.</t>
        </r>
      </text>
    </comment>
    <comment ref="AE179" authorId="0">
      <text>
        <r>
          <rPr>
            <b/>
            <sz val="8"/>
            <color indexed="81"/>
            <rFont val="Tahoma"/>
            <family val="2"/>
          </rPr>
          <t>jmarks:</t>
        </r>
        <r>
          <rPr>
            <sz val="8"/>
            <color indexed="81"/>
            <rFont val="Tahoma"/>
            <family val="2"/>
          </rPr>
          <t xml:space="preserve">
differs to match grouping of funding data</t>
        </r>
      </text>
    </comment>
    <comment ref="AF179" authorId="0">
      <text>
        <r>
          <rPr>
            <b/>
            <sz val="8"/>
            <color indexed="81"/>
            <rFont val="Tahoma"/>
            <family val="2"/>
          </rPr>
          <t>jmarks:</t>
        </r>
        <r>
          <rPr>
            <sz val="8"/>
            <color indexed="81"/>
            <rFont val="Tahoma"/>
            <family val="2"/>
          </rPr>
          <t xml:space="preserve">
differs to match grouping of funding data</t>
        </r>
      </text>
    </comment>
    <comment ref="AG179" authorId="0">
      <text>
        <r>
          <rPr>
            <b/>
            <sz val="8"/>
            <color indexed="81"/>
            <rFont val="Tahoma"/>
            <family val="2"/>
          </rPr>
          <t>jmarks:</t>
        </r>
        <r>
          <rPr>
            <sz val="8"/>
            <color indexed="81"/>
            <rFont val="Tahoma"/>
            <family val="2"/>
          </rPr>
          <t xml:space="preserve">
differs to match grouping of funding data</t>
        </r>
      </text>
    </comment>
    <comment ref="AL179" authorId="0">
      <text>
        <r>
          <rPr>
            <b/>
            <sz val="8"/>
            <color indexed="81"/>
            <rFont val="Tahoma"/>
            <family val="2"/>
          </rPr>
          <t>jmarks:</t>
        </r>
        <r>
          <rPr>
            <sz val="8"/>
            <color indexed="81"/>
            <rFont val="Tahoma"/>
            <family val="2"/>
          </rPr>
          <t xml:space="preserve">
differs to match grouping of funding data</t>
        </r>
      </text>
    </comment>
    <comment ref="AM179" authorId="0">
      <text>
        <r>
          <rPr>
            <b/>
            <sz val="8"/>
            <color indexed="81"/>
            <rFont val="Tahoma"/>
            <family val="2"/>
          </rPr>
          <t>jmarks:</t>
        </r>
        <r>
          <rPr>
            <sz val="8"/>
            <color indexed="81"/>
            <rFont val="Tahoma"/>
            <family val="2"/>
          </rPr>
          <t xml:space="preserve">
differs to match grouping of funding data</t>
        </r>
      </text>
    </comment>
    <comment ref="AN179" authorId="0">
      <text>
        <r>
          <rPr>
            <b/>
            <sz val="8"/>
            <color indexed="81"/>
            <rFont val="Tahoma"/>
            <family val="2"/>
          </rPr>
          <t>jmarks:</t>
        </r>
        <r>
          <rPr>
            <sz val="8"/>
            <color indexed="81"/>
            <rFont val="Tahoma"/>
            <family val="2"/>
          </rPr>
          <t xml:space="preserve">
differs to match grouping of funding data</t>
        </r>
      </text>
    </comment>
    <comment ref="AG180" authorId="0">
      <text>
        <r>
          <rPr>
            <b/>
            <sz val="8"/>
            <color indexed="81"/>
            <rFont val="Tahoma"/>
            <family val="2"/>
          </rPr>
          <t>jmarks:</t>
        </r>
        <r>
          <rPr>
            <sz val="8"/>
            <color indexed="81"/>
            <rFont val="Tahoma"/>
            <family val="2"/>
          </rPr>
          <t xml:space="preserve">
Since R.Bland is the only campus for which funding is identified, the R.B. FTE are manually put in this column.</t>
        </r>
      </text>
    </comment>
    <comment ref="AH180" authorId="0">
      <text>
        <r>
          <rPr>
            <b/>
            <sz val="8"/>
            <color indexed="81"/>
            <rFont val="Tahoma"/>
            <family val="2"/>
          </rPr>
          <t>jmarks:</t>
        </r>
        <r>
          <rPr>
            <sz val="8"/>
            <color indexed="81"/>
            <rFont val="Tahoma"/>
            <family val="2"/>
          </rPr>
          <t xml:space="preserve">
differs to match grouping of funding dat</t>
        </r>
      </text>
    </comment>
    <comment ref="AN180" authorId="0">
      <text>
        <r>
          <rPr>
            <b/>
            <sz val="8"/>
            <color indexed="81"/>
            <rFont val="Tahoma"/>
            <family val="2"/>
          </rPr>
          <t>jmarks:</t>
        </r>
        <r>
          <rPr>
            <sz val="8"/>
            <color indexed="81"/>
            <rFont val="Tahoma"/>
            <family val="2"/>
          </rPr>
          <t xml:space="preserve">
Since R.Bland is the only campus for which funding is identified, the R.B. FTE are manually put in this column.</t>
        </r>
      </text>
    </comment>
    <comment ref="A192" authorId="0">
      <text>
        <r>
          <rPr>
            <b/>
            <sz val="10"/>
            <color indexed="81"/>
            <rFont val="Tahoma"/>
            <family val="2"/>
          </rPr>
          <t>jmarks:</t>
        </r>
        <r>
          <rPr>
            <sz val="10"/>
            <color indexed="81"/>
            <rFont val="Tahoma"/>
            <family val="2"/>
          </rPr>
          <t xml:space="preserve">
Formulas for regional figures to use when all states report.</t>
        </r>
      </text>
    </comment>
  </commentList>
</comments>
</file>

<file path=xl/comments2.xml><?xml version="1.0" encoding="utf-8"?>
<comments xmlns="http://schemas.openxmlformats.org/spreadsheetml/2006/main">
  <authors>
    <author>jmarks</author>
  </authors>
  <commentList>
    <comment ref="A1" authorId="0">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 ref="C10" authorId="0">
      <text>
        <r>
          <rPr>
            <b/>
            <sz val="10"/>
            <color indexed="81"/>
            <rFont val="Tahoma"/>
            <family val="2"/>
          </rPr>
          <t>jmarks:</t>
        </r>
        <r>
          <rPr>
            <sz val="10"/>
            <color indexed="81"/>
            <rFont val="Tahoma"/>
            <family val="2"/>
          </rPr>
          <t xml:space="preserve">
Formula for regional figure to use when all states report.</t>
        </r>
      </text>
    </comment>
    <comment ref="E10" authorId="0">
      <text>
        <r>
          <rPr>
            <b/>
            <sz val="10"/>
            <color indexed="81"/>
            <rFont val="Tahoma"/>
            <family val="2"/>
          </rPr>
          <t>jmarks:</t>
        </r>
        <r>
          <rPr>
            <sz val="10"/>
            <color indexed="81"/>
            <rFont val="Tahoma"/>
            <family val="2"/>
          </rPr>
          <t xml:space="preserve">
Formula for regional figure to use when all states report.</t>
        </r>
      </text>
    </comment>
    <comment ref="G10" authorId="0">
      <text>
        <r>
          <rPr>
            <b/>
            <sz val="10"/>
            <color indexed="81"/>
            <rFont val="Tahoma"/>
            <family val="2"/>
          </rPr>
          <t>jmarks:</t>
        </r>
        <r>
          <rPr>
            <sz val="10"/>
            <color indexed="81"/>
            <rFont val="Tahoma"/>
            <family val="2"/>
          </rPr>
          <t xml:space="preserve">
Formula for regional figure to use when all states report.</t>
        </r>
      </text>
    </comment>
    <comment ref="I10" authorId="0">
      <text>
        <r>
          <rPr>
            <b/>
            <sz val="10"/>
            <color indexed="81"/>
            <rFont val="Tahoma"/>
            <family val="2"/>
          </rPr>
          <t>jmarks:</t>
        </r>
        <r>
          <rPr>
            <sz val="10"/>
            <color indexed="81"/>
            <rFont val="Tahoma"/>
            <family val="2"/>
          </rPr>
          <t xml:space="preserve">
Formula for regional figure to use when all states report.</t>
        </r>
      </text>
    </comment>
    <comment ref="K10" authorId="0">
      <text>
        <r>
          <rPr>
            <b/>
            <sz val="10"/>
            <color indexed="81"/>
            <rFont val="Tahoma"/>
            <family val="2"/>
          </rPr>
          <t>jmarks:</t>
        </r>
        <r>
          <rPr>
            <sz val="10"/>
            <color indexed="81"/>
            <rFont val="Tahoma"/>
            <family val="2"/>
          </rPr>
          <t xml:space="preserve">
Formula for regional figure to use when all states report.</t>
        </r>
      </text>
    </comment>
    <comment ref="M10" authorId="0">
      <text>
        <r>
          <rPr>
            <b/>
            <sz val="10"/>
            <color indexed="81"/>
            <rFont val="Tahoma"/>
            <family val="2"/>
          </rPr>
          <t>jmarks:</t>
        </r>
        <r>
          <rPr>
            <sz val="10"/>
            <color indexed="81"/>
            <rFont val="Tahoma"/>
            <family val="2"/>
          </rPr>
          <t xml:space="preserve">
Formula for regional figure to use when all states report.</t>
        </r>
      </text>
    </comment>
    <comment ref="O10" authorId="0">
      <text>
        <r>
          <rPr>
            <b/>
            <sz val="10"/>
            <color indexed="81"/>
            <rFont val="Tahoma"/>
            <family val="2"/>
          </rPr>
          <t>jmarks:</t>
        </r>
        <r>
          <rPr>
            <sz val="10"/>
            <color indexed="81"/>
            <rFont val="Tahoma"/>
            <family val="2"/>
          </rPr>
          <t xml:space="preserve">
Formula for regional figure to use when all states report.</t>
        </r>
      </text>
    </comment>
    <comment ref="A164" authorId="0">
      <text>
        <r>
          <rPr>
            <b/>
            <sz val="10"/>
            <color indexed="81"/>
            <rFont val="Tahoma"/>
            <family val="2"/>
          </rPr>
          <t>jmarks:</t>
        </r>
        <r>
          <rPr>
            <sz val="10"/>
            <color indexed="81"/>
            <rFont val="Tahoma"/>
            <family val="2"/>
          </rPr>
          <t xml:space="preserve">
Formulas for regional figures to use when all states report.</t>
        </r>
      </text>
    </comment>
    <comment ref="A194" authorId="0">
      <text>
        <r>
          <rPr>
            <b/>
            <sz val="10"/>
            <color indexed="81"/>
            <rFont val="Tahoma"/>
            <family val="2"/>
          </rPr>
          <t>jmarks:</t>
        </r>
        <r>
          <rPr>
            <sz val="10"/>
            <color indexed="81"/>
            <rFont val="Tahoma"/>
            <family val="2"/>
          </rPr>
          <t xml:space="preserve">
Formulas for regional figures to use when all states report.</t>
        </r>
      </text>
    </comment>
  </commentList>
</comments>
</file>

<file path=xl/comments3.xml><?xml version="1.0" encoding="utf-8"?>
<comments xmlns="http://schemas.openxmlformats.org/spreadsheetml/2006/main">
  <authors>
    <author>mloverde</author>
    <author>jmarks</author>
    <author>Alicia A. Diaz</author>
    <author>Lee, Cynthia M.</author>
    <author>ingogliaj</author>
  </authors>
  <commentList>
    <comment ref="Q4" authorId="0">
      <text>
        <r>
          <rPr>
            <b/>
            <sz val="10"/>
            <color indexed="81"/>
            <rFont val="Tahoma"/>
            <family val="2"/>
          </rPr>
          <t>jmarks: Formula must "fit" term code: /30 for semesters; /45 for quarters</t>
        </r>
      </text>
    </comment>
    <comment ref="V4" authorId="1">
      <text>
        <r>
          <rPr>
            <b/>
            <sz val="10"/>
            <color indexed="81"/>
            <rFont val="Tahoma"/>
            <family val="2"/>
          </rPr>
          <t>jmarks:</t>
        </r>
        <r>
          <rPr>
            <sz val="10"/>
            <color indexed="81"/>
            <rFont val="Tahoma"/>
            <family val="2"/>
          </rPr>
          <t xml:space="preserve">
To perform weighted averages, totals can only be included when h.s. student data present.</t>
        </r>
      </text>
    </comment>
    <comment ref="AG4" authorId="0">
      <text>
        <r>
          <rPr>
            <b/>
            <sz val="10"/>
            <color indexed="81"/>
            <rFont val="Tahoma"/>
            <family val="2"/>
          </rPr>
          <t>jmarks: Formula must "fit" term code: /30 for semesters; /45 for quarters</t>
        </r>
      </text>
    </comment>
    <comment ref="AL4" authorId="1">
      <text>
        <r>
          <rPr>
            <b/>
            <sz val="10"/>
            <color indexed="81"/>
            <rFont val="Tahoma"/>
            <family val="2"/>
          </rPr>
          <t>jmarks:</t>
        </r>
        <r>
          <rPr>
            <sz val="10"/>
            <color indexed="81"/>
            <rFont val="Tahoma"/>
            <family val="2"/>
          </rPr>
          <t xml:space="preserve">
To perform weighted averages, totals can only be included when h.s. student data present.</t>
        </r>
      </text>
    </comment>
    <comment ref="AW4" authorId="0">
      <text>
        <r>
          <rPr>
            <b/>
            <sz val="10"/>
            <color indexed="81"/>
            <rFont val="Tahoma"/>
            <family val="2"/>
          </rPr>
          <t>jmarks: Formula must "fit" term code: /30 for semesters; /45 for quarters</t>
        </r>
      </text>
    </comment>
    <comment ref="V6" authorId="1">
      <text>
        <r>
          <rPr>
            <b/>
            <sz val="10"/>
            <color indexed="81"/>
            <rFont val="Tahoma"/>
            <family val="2"/>
          </rPr>
          <t>jmarks:</t>
        </r>
        <r>
          <rPr>
            <sz val="10"/>
            <color indexed="81"/>
            <rFont val="Tahoma"/>
            <family val="2"/>
          </rPr>
          <t xml:space="preserve">
To perform weighted averages, totals can only be included when h.s. student data present.</t>
        </r>
      </text>
    </comment>
    <comment ref="AL6" authorId="1">
      <text>
        <r>
          <rPr>
            <b/>
            <sz val="10"/>
            <color indexed="81"/>
            <rFont val="Tahoma"/>
            <family val="2"/>
          </rPr>
          <t>jmarks:</t>
        </r>
        <r>
          <rPr>
            <sz val="10"/>
            <color indexed="81"/>
            <rFont val="Tahoma"/>
            <family val="2"/>
          </rPr>
          <t xml:space="preserve">
To perform weighted averages, totals can only be included when h.s. student data present.</t>
        </r>
      </text>
    </comment>
    <comment ref="D20" authorId="2">
      <text>
        <r>
          <rPr>
            <b/>
            <sz val="8"/>
            <color indexed="81"/>
            <rFont val="Tahoma"/>
            <family val="2"/>
          </rPr>
          <t>No Freshmen, Upper Level school - will not have data in every section.</t>
        </r>
      </text>
    </comment>
    <comment ref="B28" authorId="1">
      <text>
        <r>
          <rPr>
            <b/>
            <sz val="9"/>
            <color indexed="81"/>
            <rFont val="Tahoma"/>
            <family val="2"/>
          </rPr>
          <t>jmarks:</t>
        </r>
        <r>
          <rPr>
            <sz val="9"/>
            <color indexed="81"/>
            <rFont val="Tahoma"/>
            <family val="2"/>
          </rPr>
          <t xml:space="preserve">
Formerly listed as Enterprise-Ozark Community College -- name change in 2009.</t>
        </r>
      </text>
    </comment>
    <comment ref="B164" authorId="3">
      <text>
        <r>
          <rPr>
            <b/>
            <sz val="8"/>
            <color indexed="81"/>
            <rFont val="Tahoma"/>
            <family val="2"/>
          </rPr>
          <t>Lee, Cynthia M.:</t>
        </r>
        <r>
          <rPr>
            <sz val="8"/>
            <color indexed="81"/>
            <rFont val="Tahoma"/>
            <family val="2"/>
          </rPr>
          <t xml:space="preserve">
DeKalb was renamed to Georgia Piedmont as of 10/1/11</t>
        </r>
      </text>
    </comment>
    <comment ref="Q205" authorId="1">
      <text>
        <r>
          <rPr>
            <b/>
            <sz val="10"/>
            <color indexed="81"/>
            <rFont val="Tahoma"/>
            <family val="2"/>
          </rPr>
          <t>jmarks:</t>
        </r>
        <r>
          <rPr>
            <sz val="10"/>
            <color indexed="81"/>
            <rFont val="Tahoma"/>
            <family val="2"/>
          </rPr>
          <t xml:space="preserve">
Special formula for quarter hours</t>
        </r>
      </text>
    </comment>
    <comment ref="S205" authorId="1">
      <text>
        <r>
          <rPr>
            <b/>
            <sz val="10"/>
            <color indexed="81"/>
            <rFont val="Tahoma"/>
            <family val="2"/>
          </rPr>
          <t>jmarks:</t>
        </r>
        <r>
          <rPr>
            <sz val="10"/>
            <color indexed="81"/>
            <rFont val="Tahoma"/>
            <family val="2"/>
          </rPr>
          <t xml:space="preserve">
Special formula for quarter hours</t>
        </r>
      </text>
    </comment>
    <comment ref="AW205" authorId="1">
      <text>
        <r>
          <rPr>
            <b/>
            <sz val="10"/>
            <color indexed="81"/>
            <rFont val="Tahoma"/>
            <family val="2"/>
          </rPr>
          <t>jmarks:</t>
        </r>
        <r>
          <rPr>
            <sz val="10"/>
            <color indexed="81"/>
            <rFont val="Tahoma"/>
            <family val="2"/>
          </rPr>
          <t xml:space="preserve">
Special formula for quarter hours</t>
        </r>
      </text>
    </comment>
    <comment ref="AY205" authorId="1">
      <text>
        <r>
          <rPr>
            <b/>
            <sz val="10"/>
            <color indexed="81"/>
            <rFont val="Tahoma"/>
            <family val="2"/>
          </rPr>
          <t>jmarks:</t>
        </r>
        <r>
          <rPr>
            <sz val="10"/>
            <color indexed="81"/>
            <rFont val="Tahoma"/>
            <family val="2"/>
          </rPr>
          <t xml:space="preserve">
Special formula for quarter hours</t>
        </r>
      </text>
    </comment>
    <comment ref="A301" authorId="1">
      <text>
        <r>
          <rPr>
            <b/>
            <sz val="10"/>
            <color indexed="81"/>
            <rFont val="Tahoma"/>
            <family val="2"/>
          </rPr>
          <t xml:space="preserve">jmarks: </t>
        </r>
        <r>
          <rPr>
            <sz val="10"/>
            <color indexed="81"/>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 ref="K301" authorId="4">
      <text>
        <r>
          <rPr>
            <b/>
            <sz val="9"/>
            <color indexed="81"/>
            <rFont val="Tahoma"/>
            <family val="2"/>
          </rPr>
          <t>ingogliaj:</t>
        </r>
        <r>
          <rPr>
            <sz val="9"/>
            <color indexed="81"/>
            <rFont val="Tahoma"/>
            <family val="2"/>
          </rPr>
          <t xml:space="preserve">
census date is 10%
</t>
        </r>
      </text>
    </comment>
  </commentList>
</comments>
</file>

<file path=xl/connections.xml><?xml version="1.0" encoding="utf-8"?>
<connections xmlns="http://schemas.openxmlformats.org/spreadsheetml/2006/main">
  <connection id="1" name="CH11ug1" type="6" refreshedVersion="4" background="1" saveData="1">
    <textPr codePage="437" sourceFile="\\THECB-AUVFS41\UserDoc$\MeadDD\My Documents\My SAS Files\SREB\QWK04245\Page4\CH11ug1.txt">
      <textFields>
        <textField/>
      </textFields>
    </textPr>
  </connection>
  <connection id="2" name="CH11ug2" type="6" refreshedVersion="4" background="1" saveData="1">
    <textPr codePage="437" sourceFile="\\THECB-AUVFS41\UserDoc$\MeadDD\My Documents\My SAS Files\SREB\QWK04245\Page4\CH11ug2.txt">
      <textFields>
        <textField/>
      </textFields>
    </textPr>
  </connection>
  <connection id="3" name="CH11ug3" type="6" refreshedVersion="4" background="1" saveData="1">
    <textPr codePage="437" sourceFile="\\THECB-AUVFS41\UserDoc$\MeadDD\My Documents\My SAS Files\SREB\QWK04245\Page4\CH11ug3.txt">
      <textFields>
        <textField/>
      </textFields>
    </textPr>
  </connection>
  <connection id="4" name="CH11ug4" type="6" refreshedVersion="4" background="1" saveData="1">
    <textPr codePage="437" sourceFile="\\THECB-AUVFS41\UserDoc$\MeadDD\My Documents\My SAS Files\SREB\QWK04245\Page4\CH11ug4.txt">
      <textFields>
        <textField/>
      </textFields>
    </textPr>
  </connection>
  <connection id="5" name="Dual07" type="6" refreshedVersion="3" deleted="1" background="1" saveData="1">
    <textPr codePage="437" sourceFile="\\CBNA42\UserDoc$\meaddd\My Documents\My SAS Files\SREB\QWK03256\Dual07.txt">
      <textFields>
        <textField/>
      </textFields>
    </textPr>
  </connection>
  <connection id="6" name="Dual08" type="6" refreshedVersion="3" deleted="1" background="1" saveData="1">
    <textPr codePage="437" sourceFile="\\CBNA42\UserDoc$\meaddd\My Documents\My SAS Files\SREB\QWK03256\Dual08.txt">
      <textFields>
        <textField/>
      </textFields>
    </textPr>
  </connection>
  <connection id="7" name="Dual11" type="6" refreshedVersion="4" background="1" saveData="1">
    <textPr codePage="437" sourceFile="\\THECB-AUVFS41\UserDoc$\MeadDD\My Documents\My SAS Files\SREB\QWK04245\Page4\Dual11.txt">
      <textFields>
        <textField/>
      </textFields>
    </textPr>
  </connection>
  <connection id="8" name="JrCH08ug1" type="6" refreshedVersion="3" deleted="1" background="1" saveData="1">
    <textPr codePage="437" sourceFile="\\CBNA42\UserDoc$\meaddd\My Documents\My SAS Files\SREB\QWK03256\JrCH08ug1.txt">
      <textFields>
        <textField/>
      </textFields>
    </textPr>
  </connection>
  <connection id="9" name="JrCH08ug2" type="6" refreshedVersion="3" deleted="1" background="1" saveData="1">
    <textPr codePage="437" sourceFile="\\CBNA42\UserDoc$\meaddd\My Documents\My SAS Files\SREB\QWK03256\JrCH08ug2.txt">
      <textFields>
        <textField/>
      </textFields>
    </textPr>
  </connection>
  <connection id="10" name="JrCH08ug3" type="6" refreshedVersion="3" deleted="1" background="1" saveData="1">
    <textPr codePage="437" sourceFile="\\CBNA42\UserDoc$\meaddd\My Documents\My SAS Files\SREB\QWK03256\JrCH08ug3.txt">
      <textFields>
        <textField/>
      </textFields>
    </textPr>
  </connection>
  <connection id="11" name="JrCH08ug4" type="6" refreshedVersion="3" deleted="1" background="1" saveData="1">
    <textPr codePage="437" sourceFile="\\CBNA42\UserDoc$\meaddd\My Documents\My SAS Files\SREB\QWK03256\JrCH08ug4.txt">
      <textFields>
        <textField/>
      </textFields>
    </textPr>
  </connection>
  <connection id="12" name="JrSCH08ug1" type="6" refreshedVersion="3" deleted="1" background="1" saveData="1">
    <textPr codePage="437" sourceFile="\\CBNA42\UserDoc$\meaddd\My Documents\My SAS Files\SREB\QWK03256\JrSCH08ug1.txt">
      <textFields>
        <textField/>
      </textFields>
    </textPr>
  </connection>
  <connection id="13" name="JrSCH08ug2" type="6" refreshedVersion="3" deleted="1" background="1" saveData="1">
    <textPr codePage="437" sourceFile="\\CBNA42\UserDoc$\meaddd\My Documents\My SAS Files\SREB\QWK03256\JrSCH08ug2.txt">
      <textFields>
        <textField/>
      </textFields>
    </textPr>
  </connection>
  <connection id="14" name="JrSCH08ug3" type="6" refreshedVersion="3" deleted="1" background="1" saveData="1">
    <textPr codePage="437" sourceFile="\\CBNA42\UserDoc$\meaddd\My Documents\My SAS Files\SREB\QWK03256\JrSCH08ug3.txt">
      <textFields>
        <textField/>
      </textFields>
    </textPr>
  </connection>
  <connection id="15" name="JrSCH08ug4" type="6" refreshedVersion="3" deleted="1" background="1" saveData="1">
    <textPr codePage="437" sourceFile="\\CBNA42\UserDoc$\meaddd\My Documents\My SAS Files\SREB\QWK03256\JrSCH08ug4.txt">
      <textFields>
        <textField/>
      </textFields>
    </textPr>
  </connection>
  <connection id="16" name="SrSCH08gr2" type="6" refreshedVersion="3" deleted="1" background="1" saveData="1">
    <textPr codePage="437" sourceFile="\\CBNA42\UserDoc$\meaddd\My Documents\My SAS Files\SREB\QWK03256\SrSCH08gr2.txt">
      <textFields>
        <textField/>
      </textFields>
    </textPr>
  </connection>
  <connection id="17" name="SrSCH08gr3" type="6" refreshedVersion="3" deleted="1" background="1" saveData="1">
    <textPr codePage="437" sourceFile="\\CBNA42\UserDoc$\meaddd\My Documents\My SAS Files\SREB\QWK03256\SrSCH08gr3.txt">
      <textFields>
        <textField/>
      </textFields>
    </textPr>
  </connection>
  <connection id="18" name="SrSCH08gr4" type="6" refreshedVersion="3" deleted="1" background="1" saveData="1">
    <textPr codePage="437" sourceFile="\\CBNA42\UserDoc$\meaddd\My Documents\My SAS Files\SREB\QWK03256\SrSCH08gr4.txt">
      <textFields>
        <textField/>
      </textFields>
    </textPr>
  </connection>
  <connection id="19" name="SrSCH08ug2" type="6" refreshedVersion="3" deleted="1" background="1" saveData="1">
    <textPr codePage="437" sourceFile="\\CBNA42\UserDoc$\meaddd\My Documents\My SAS Files\SREB\QWK03256\SrSCH08ug2.txt">
      <textFields>
        <textField/>
      </textFields>
    </textPr>
  </connection>
  <connection id="20" name="SrSCH08ug3" type="6" refreshedVersion="3" deleted="1" background="1" saveData="1">
    <textPr codePage="437" sourceFile="\\CBNA42\UserDoc$\meaddd\My Documents\My SAS Files\SREB\QWK03256\SrSCH08ug3.txt">
      <textFields>
        <textField/>
      </textFields>
    </textPr>
  </connection>
  <connection id="21" name="SrSCH08ug4" type="6" refreshedVersion="3" deleted="1" background="1" saveData="1">
    <textPr codePage="437" sourceFile="\\CBNA42\UserDoc$\meaddd\My Documents\My SAS Files\SREB\QWK03256\SrSCH08ug4.txt">
      <textFields>
        <textField/>
      </textFields>
    </textPr>
  </connection>
</connections>
</file>

<file path=xl/sharedStrings.xml><?xml version="1.0" encoding="utf-8"?>
<sst xmlns="http://schemas.openxmlformats.org/spreadsheetml/2006/main" count="4125" uniqueCount="1021">
  <si>
    <t>All Two Year</t>
  </si>
  <si>
    <t>All Technical</t>
  </si>
  <si>
    <t>Old Percent by H.S. Students</t>
  </si>
  <si>
    <t>All Four Year</t>
  </si>
  <si>
    <t>Points change</t>
  </si>
  <si>
    <t>"9" minus "9b"</t>
  </si>
  <si>
    <t>10 minus 10b</t>
  </si>
  <si>
    <t>#Change from prior year</t>
  </si>
  <si>
    <t>DE</t>
  </si>
  <si>
    <t>Grand Total FTE - Old</t>
  </si>
  <si>
    <t>Total Grand Total FTE - Old</t>
  </si>
  <si>
    <t>Sum of Old-Total UGH</t>
  </si>
  <si>
    <t>Sum of New-Total UGH</t>
  </si>
  <si>
    <t>Total Sum of Old-Total UGH</t>
  </si>
  <si>
    <t>Total Sum of New-Total UGH</t>
  </si>
  <si>
    <t>Sum of Old-Total HSH</t>
  </si>
  <si>
    <t>Sum of New-Total HSH</t>
  </si>
  <si>
    <t>Sum of Old-HS % of Total</t>
  </si>
  <si>
    <t>10b Total</t>
  </si>
  <si>
    <t>Sum of New-HS % of Total</t>
  </si>
  <si>
    <t>Total Sum of Old-Total HSH</t>
  </si>
  <si>
    <t>Total Sum of New-Total HSH</t>
  </si>
  <si>
    <t>Total Sum of Old-HS % of Total</t>
  </si>
  <si>
    <t>Total Sum of New-HS % of Total</t>
  </si>
  <si>
    <t>Percent by Students Still in High School</t>
  </si>
  <si>
    <t>Four-Year Total</t>
  </si>
  <si>
    <t>Two-Year Total</t>
  </si>
  <si>
    <t>Technical Total</t>
  </si>
  <si>
    <t>AL</t>
  </si>
  <si>
    <t>KY</t>
  </si>
  <si>
    <t>MD</t>
  </si>
  <si>
    <t>TN</t>
  </si>
  <si>
    <t>University of Arkansas at Fort Smith</t>
  </si>
  <si>
    <t>TX</t>
  </si>
  <si>
    <t>Technical</t>
  </si>
  <si>
    <t>12</t>
  </si>
  <si>
    <t>13</t>
  </si>
  <si>
    <t>Grand
Total FTE</t>
  </si>
  <si>
    <t>Size Unknown</t>
  </si>
  <si>
    <t xml:space="preserve"> </t>
  </si>
  <si>
    <t>Public Four-Year Universities, Two-Year Colleges</t>
  </si>
  <si>
    <t>All</t>
  </si>
  <si>
    <t>TOTAL</t>
  </si>
  <si>
    <t>Full-Year Full-Time-Equivalent Undergraduate Enrollment</t>
  </si>
  <si>
    <t>Full-Year Full-Time-Equivalent Graduate Enrollment</t>
  </si>
  <si>
    <t>Full-Year Full-Time-Equivalent Credit-Hour Enrollment</t>
  </si>
  <si>
    <t>Full-Year Full-Time-Equivalent Contact-Hour Enrollment</t>
  </si>
  <si>
    <t>Total Full-Year Full-Time-Equivalent Enrollment</t>
  </si>
  <si>
    <t>Extra sub-totals to use with funding data.</t>
  </si>
  <si>
    <t>OLD</t>
  </si>
  <si>
    <t>Totals for Per FTE Funding Calculation</t>
  </si>
  <si>
    <t>Prior year for Highlights report</t>
  </si>
  <si>
    <t>sem</t>
  </si>
  <si>
    <t>Category2</t>
  </si>
  <si>
    <t>Old-Total Undg CH</t>
  </si>
  <si>
    <t>Old-Total Undg CH FTE</t>
  </si>
  <si>
    <t>Technical Institutes or Colleges</t>
  </si>
  <si>
    <t>Old-Term Code</t>
  </si>
  <si>
    <t>New-Term Code</t>
  </si>
  <si>
    <t>Old-Total Undg SCH</t>
  </si>
  <si>
    <t>New-Total Undg SCH</t>
  </si>
  <si>
    <t>New-Total Undg CH</t>
  </si>
  <si>
    <t>Old-Total Grad SCH</t>
  </si>
  <si>
    <t>New-Total Grad SCH</t>
  </si>
  <si>
    <t>Old-Total Grad FTE</t>
  </si>
  <si>
    <t>New-Total Grad FTE</t>
  </si>
  <si>
    <t>Old-Total Undg SCH FTE</t>
  </si>
  <si>
    <t>New-Total Undg SCH FTE</t>
  </si>
  <si>
    <t>New-Total Undg CH FTE</t>
  </si>
  <si>
    <t>Data</t>
  </si>
  <si>
    <t>Grand Total</t>
  </si>
  <si>
    <t>Old Grand Total FTE</t>
  </si>
  <si>
    <t>7</t>
  </si>
  <si>
    <t>8</t>
  </si>
  <si>
    <t>9</t>
  </si>
  <si>
    <t>10</t>
  </si>
  <si>
    <t>New Grand Total FTE</t>
  </si>
  <si>
    <t>Four-Year</t>
  </si>
  <si>
    <t xml:space="preserve"> Two-Year</t>
  </si>
  <si>
    <t>SREB states</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</si>
  <si>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</si>
  <si>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</si>
  <si>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</si>
  <si>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</si>
  <si>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</si>
  <si>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</si>
  <si>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</si>
  <si>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</si>
  <si>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</si>
  <si>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</si>
  <si>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</si>
  <si>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</si>
  <si>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</si>
  <si>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</si>
  <si>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</si>
  <si>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Two-Year</t>
  </si>
  <si>
    <t xml:space="preserve"> Undergrad Contact Hour FTE - New</t>
  </si>
  <si>
    <t>Total  Undergrad Contact Hour FTE - New</t>
  </si>
  <si>
    <t xml:space="preserve"> Undergrad Contact Hour FTE - Old</t>
  </si>
  <si>
    <t>Total  Undergrad Contact Hour FTE - Old</t>
  </si>
  <si>
    <t>Undergrad Student Credit Hour FTE - New</t>
  </si>
  <si>
    <t>Total Undergrad Student Credit Hour FTE - New</t>
  </si>
  <si>
    <t>Undergrad Student Credit Hour  FTE - Old</t>
  </si>
  <si>
    <t>Total Undergrad Student Credit Hour  FTE - Old</t>
  </si>
  <si>
    <t>Graduate FTE - Old</t>
  </si>
  <si>
    <t>Total Graduate FTE - Old</t>
  </si>
  <si>
    <t>Graduate FTE - New</t>
  </si>
  <si>
    <t>Total Graduate FTE - New</t>
  </si>
  <si>
    <t xml:space="preserve"> % Change Graduate  FTE</t>
  </si>
  <si>
    <t>Total  % Change Graduate  FTE</t>
  </si>
  <si>
    <t>Grand Total FTE - New</t>
  </si>
  <si>
    <t>Total Grand Total FTE - New</t>
  </si>
  <si>
    <t xml:space="preserve"> % Change Grand Total FTE</t>
  </si>
  <si>
    <t>Total  % Change Grand Total FTE</t>
  </si>
  <si>
    <t xml:space="preserve"> % Change Undergrad SCH FTE</t>
  </si>
  <si>
    <t>Total  % Change Undergrad SCH FTE</t>
  </si>
  <si>
    <t xml:space="preserve"> % Change Undergrad CH FTE</t>
  </si>
  <si>
    <t>Total  % Change Undergrad CH FTE</t>
  </si>
  <si>
    <t>Delaware</t>
  </si>
  <si>
    <t>Institution</t>
  </si>
  <si>
    <t>Category</t>
  </si>
  <si>
    <t>State</t>
  </si>
  <si>
    <t>IPEDS ID #</t>
  </si>
  <si>
    <t>Undergraduate Credit Hours</t>
  </si>
  <si>
    <t>Undergraduate Contact Hours</t>
  </si>
  <si>
    <t>Graduate Credit Hours</t>
  </si>
  <si>
    <t>Calculated</t>
  </si>
  <si>
    <t>Winter</t>
  </si>
  <si>
    <t>Spring</t>
  </si>
  <si>
    <t>Summer</t>
  </si>
  <si>
    <t>Fall</t>
  </si>
  <si>
    <t>old-Winter Undg SCH</t>
  </si>
  <si>
    <t>new-Winter Undg SCH</t>
  </si>
  <si>
    <t>old-Spring Undg SCH</t>
  </si>
  <si>
    <t>new-Spring Undg SCH</t>
  </si>
  <si>
    <t>old-Summer Undg SCH</t>
  </si>
  <si>
    <t>new-Summer Undg SCH</t>
  </si>
  <si>
    <t>old-Fall Undg SCH</t>
  </si>
  <si>
    <t>new-Fall Undg SCH</t>
  </si>
  <si>
    <t>old-Winter Undg CH</t>
  </si>
  <si>
    <t>new-Winter Undg CH</t>
  </si>
  <si>
    <t>old-Spring Undg CH</t>
  </si>
  <si>
    <t>new-Spring Undg CH</t>
  </si>
  <si>
    <t>old-Summer Undg CH</t>
  </si>
  <si>
    <t>new-Summer Undg CH</t>
  </si>
  <si>
    <t>old-Fall Undg CH</t>
  </si>
  <si>
    <t>new-Fall Undg CH</t>
  </si>
  <si>
    <t>old-Winter Grad SCH</t>
  </si>
  <si>
    <t>new-Winter Grad SCH</t>
  </si>
  <si>
    <t>old-Spring Grad SCH</t>
  </si>
  <si>
    <t>new-Spring Grad SCH</t>
  </si>
  <si>
    <t>old-Summer Grad SCH</t>
  </si>
  <si>
    <t>new-Summer Grad SCH</t>
  </si>
  <si>
    <t>old-Fall Grad SCH</t>
  </si>
  <si>
    <t>new-Fall Grad SCH</t>
  </si>
  <si>
    <t>FTE</t>
  </si>
  <si>
    <t>With Bachelor's</t>
  </si>
  <si>
    <t>%Change from prior year</t>
  </si>
  <si>
    <t>GA</t>
  </si>
  <si>
    <t>NC</t>
  </si>
  <si>
    <t>Total</t>
  </si>
  <si>
    <t>NEW</t>
  </si>
  <si>
    <t>MS</t>
  </si>
  <si>
    <t>FL</t>
  </si>
  <si>
    <t>OK</t>
  </si>
  <si>
    <t>WV</t>
  </si>
  <si>
    <t>VA</t>
  </si>
  <si>
    <t>10b</t>
  </si>
  <si>
    <t>AR</t>
  </si>
  <si>
    <t>University of Arkansas, Fayetteville</t>
  </si>
  <si>
    <t>Arkansas State University</t>
  </si>
  <si>
    <t>University of Arkansas at Little Rock</t>
  </si>
  <si>
    <t xml:space="preserve">University of Central Arkansas </t>
  </si>
  <si>
    <t>Arkansas Tech University</t>
  </si>
  <si>
    <t>Henderson State University</t>
  </si>
  <si>
    <t>Southern Arkansas University</t>
  </si>
  <si>
    <t>University of Arkansas at Monticello</t>
  </si>
  <si>
    <t>University of Arkansas at Pine Bluff</t>
  </si>
  <si>
    <t>Pulaski Technical College</t>
  </si>
  <si>
    <t>Arkansas State University-Beebe</t>
  </si>
  <si>
    <t xml:space="preserve">Northwest Arkansas Community College </t>
  </si>
  <si>
    <t>Arkansas Northeastern College</t>
  </si>
  <si>
    <t>Arkansas State University Mountain Home</t>
  </si>
  <si>
    <t>Arkansas State University-Newport</t>
  </si>
  <si>
    <t>Black River Technical College</t>
  </si>
  <si>
    <t>Cossatot Community College of the University of Arkansas</t>
  </si>
  <si>
    <t xml:space="preserve">East Arkansas Community College </t>
  </si>
  <si>
    <t xml:space="preserve">Mid-South Community College </t>
  </si>
  <si>
    <t>National Park Community College</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</si>
  <si>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</si>
  <si>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</si>
  <si>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</si>
  <si>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</si>
  <si>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</si>
  <si>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</si>
  <si>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</si>
  <si>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</si>
  <si>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</si>
  <si>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</si>
  <si>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SC</t>
  </si>
  <si>
    <t>Old-Total HS SCH</t>
  </si>
  <si>
    <t>New-Total HS SCH</t>
  </si>
  <si>
    <t>Old-Total HS CH</t>
  </si>
  <si>
    <t>New-Total HS CH</t>
  </si>
  <si>
    <t>LA</t>
  </si>
  <si>
    <t>For use in FB 37 and DE Highlights</t>
  </si>
  <si>
    <r>
      <rPr>
        <b/>
        <sz val="10"/>
        <rFont val="Arial"/>
        <family val="2"/>
      </rPr>
      <t>Old</t>
    </r>
    <r>
      <rPr>
        <sz val="10"/>
        <rFont val="Arial"/>
        <family val="2"/>
      </rPr>
      <t xml:space="preserve"> % by H.S. Students</t>
    </r>
  </si>
  <si>
    <t>Hours taken by students still in high school (dual enrollment, joint enrollment, early college, etc.)</t>
  </si>
  <si>
    <t>For use in DE Highlights and Fact Book</t>
  </si>
  <si>
    <t>Two Year 1</t>
  </si>
  <si>
    <t>Four-Year 1</t>
  </si>
  <si>
    <t>w/ Bachelor's</t>
  </si>
  <si>
    <t>Technical 1</t>
  </si>
  <si>
    <t>Old-Total Undg SCH2</t>
  </si>
  <si>
    <t>New-Total Undg SCH2</t>
  </si>
  <si>
    <t>Old-Total Undg CH2</t>
  </si>
  <si>
    <t>New-Total Undg CH2</t>
  </si>
  <si>
    <t>—</t>
  </si>
  <si>
    <t>08b</t>
  </si>
  <si>
    <t>09b</t>
  </si>
  <si>
    <t>08b Total</t>
  </si>
  <si>
    <t>09b Total</t>
  </si>
  <si>
    <t>Table 80</t>
  </si>
  <si>
    <t>Table 81</t>
  </si>
  <si>
    <t>Table 82</t>
  </si>
  <si>
    <t>Table 83</t>
  </si>
  <si>
    <t>Table 84</t>
  </si>
  <si>
    <t>Table 85</t>
  </si>
  <si>
    <t>Table 86</t>
  </si>
  <si>
    <t>Public Two-Year Colleges and Technical Institutes or Colleges</t>
  </si>
  <si>
    <t>=+GETPIVOTDATA("Sum of New-HS % of Total",'Pivot-HS Student % of Undergrad'!$A$3,"Category",1,"Category2","Four-Year")</t>
  </si>
  <si>
    <t>=+GETPIVOTDATA("Sum of New-HS % of Total",'Pivot-HS Student % of Undergrad'!$A$3,"Category",2,"Category2","Four-Year")</t>
  </si>
  <si>
    <t>=+GETPIVOTDATA("Sum of New-HS % of Total",'Pivot-HS Student % of Undergrad'!$A$3,"Category",3,"Category2","Four-Year")</t>
  </si>
  <si>
    <t>=+GETPIVOTDATA("Sum of New-HS % of Total",'Pivot-HS Student % of Undergrad'!$A$3,"Category",4,"Category2","Four-Year")</t>
  </si>
  <si>
    <t>=+GETPIVOTDATA("Sum of New-HS % of Total",'Pivot-HS Student % of Undergrad'!$A$3,"Category",5,"Category2","Four-Year")</t>
  </si>
  <si>
    <t>=+GETPIVOTDATA("Sum of New-HS % of Total",'Pivot-HS Student % of Undergrad'!$A$3,"Category",6,"Category2","Four-Year")</t>
  </si>
  <si>
    <t>=+GETPIVOTDATA("Sum of New-HS % of Total",'Pivot-HS Student % of Undergrad'!$A$3,"Category2","Group1")</t>
  </si>
  <si>
    <t>=+GETPIVOTDATA("Sum of New-HS % of Total",'Pivot-HS Student % of Undergrad'!$A$3,"Category",7,"Category2","Two-Year")</t>
  </si>
  <si>
    <t>=+GETPIVOTDATA("Sum of New-HS % of Total",'Pivot-HS Student % of Undergrad'!$A$3,"Category",8,"Category2","Two-Year")</t>
  </si>
  <si>
    <t>=+GETPIVOTDATA("Sum of New-HS % of Total",'Pivot-HS Student % of Undergrad'!$A$3,"Category",9,"Category2","Two-Year")</t>
  </si>
  <si>
    <t>=+GETPIVOTDATA("Sum of New-HS % of Total",'Pivot-HS Student % of Undergrad'!$A$3,"Category",10,"Category2","Two-Year")</t>
  </si>
  <si>
    <t>=+GETPIVOTDATA("Sum of New-HS % of Total",'Pivot-HS Student % of Undergrad'!$A$3,"Category2","Group2")</t>
  </si>
  <si>
    <t>=+GETPIVOTDATA("Sum of New-HS % of Total",'Pivot-HS Student % of Undergrad'!$A$3,"Category",12,"Category2","Technical")</t>
  </si>
  <si>
    <t>=+GETPIVOTDATA("Sum of New-HS % of Total",'Pivot-HS Student % of Undergrad'!$A$3,"Category",13,"Category2","Technical")</t>
  </si>
  <si>
    <t>=+GETPIVOTDATA("Sum of New-HS % of Total",'Pivot-HS Student % of Undergrad'!$A$3,"Category2","Group3")</t>
  </si>
  <si>
    <t>=+GETPIVOTDATA("Sum of Old-HS % of Total",'Pivot-HS Student % of Undergrad'!$A$3,"Category",12,"Category2","Technical")</t>
  </si>
  <si>
    <t>=+GETPIVOTDATA("Sum of Old-HS % of Total",'Pivot-HS Student % of Undergrad'!$A$3,"Category",13,"Category2","Technical")</t>
  </si>
  <si>
    <t>=+GETPIVOTDATA("Sum of Old-HS % of Total",'Pivot-HS Student % of Undergrad'!$A$3,"Category2","Group3")</t>
  </si>
  <si>
    <t>IPEDS #</t>
  </si>
  <si>
    <t>Semester or Quarter</t>
  </si>
  <si>
    <t>Total Hours</t>
  </si>
  <si>
    <t>Total Hours for HS % of Total Calculation</t>
  </si>
  <si>
    <t>99</t>
  </si>
  <si>
    <t>Note</t>
  </si>
  <si>
    <t>99 Total</t>
  </si>
  <si>
    <t>Public Technical Institutes or Colleges, 2010-11</t>
  </si>
  <si>
    <t xml:space="preserve"> and Technical Institutes or Colleges, 2010-11</t>
  </si>
  <si>
    <r>
      <t>……….</t>
    </r>
    <r>
      <rPr>
        <b/>
        <sz val="14"/>
        <color rgb="FFC00000"/>
        <rFont val="Arial"/>
        <family val="2"/>
      </rPr>
      <t>Discontinued but still used for summary info and Fact Book</t>
    </r>
    <r>
      <rPr>
        <b/>
        <sz val="14"/>
        <rFont val="Arial"/>
        <family val="2"/>
      </rPr>
      <t>-----</t>
    </r>
  </si>
  <si>
    <r>
      <t>………. "86B"</t>
    </r>
    <r>
      <rPr>
        <b/>
        <sz val="14"/>
        <color rgb="FFC00000"/>
        <rFont val="Arial"/>
        <family val="2"/>
      </rPr>
      <t>Discontinued but still used for summary info and Fact Book</t>
    </r>
    <r>
      <rPr>
        <b/>
        <sz val="14"/>
        <rFont val="Arial"/>
        <family val="2"/>
      </rPr>
      <t>-------see sections to right---------------&gt;&gt;&gt;&gt;&gt;&gt;&gt;&gt;</t>
    </r>
  </si>
  <si>
    <t>for use in Highlights and Fact Book</t>
  </si>
  <si>
    <t>"8" minus "8b"</t>
  </si>
  <si>
    <t>OLD for funding</t>
  </si>
  <si>
    <t>New for funding</t>
  </si>
  <si>
    <t xml:space="preserve">Part 4: Credit/Contact Hours </t>
  </si>
  <si>
    <r>
      <t xml:space="preserve">Data Columns:  </t>
    </r>
    <r>
      <rPr>
        <sz val="10"/>
        <rFont val="Arial"/>
        <family val="2"/>
      </rPr>
      <t xml:space="preserve">White = New Data, Peach = Old Data, Purple/Grey = Calculated Data. </t>
    </r>
    <r>
      <rPr>
        <b/>
        <sz val="10"/>
        <rFont val="Arial"/>
        <family val="2"/>
      </rPr>
      <t xml:space="preserve"> Please highlight changes in YELLOW</t>
    </r>
  </si>
  <si>
    <t>Comments:  Please look for comments and answer questions; add comments as needed</t>
  </si>
  <si>
    <t>Classification Notes</t>
  </si>
  <si>
    <t>Met the criteria for Four-Year 3 in 2010-11 and 2011-12.</t>
  </si>
  <si>
    <t>Reclassified: met the criteria for Four-Year 4 in 2009-10, 2010-11 and 2011-12.</t>
  </si>
  <si>
    <t>Reclassified: met the criteria for Two-Year 1 in 2009-10, 2010-11 and 2011-12.</t>
  </si>
  <si>
    <t>Met the criteria for Two-Year 2 in 2010-11 and 2011-12.</t>
  </si>
  <si>
    <t>College of the Ouachitas</t>
  </si>
  <si>
    <t>Formerly Ouachita Technical College.</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</si>
  <si>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</si>
  <si>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</si>
  <si>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</si>
  <si>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</si>
  <si>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</si>
  <si>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</si>
  <si>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</si>
  <si>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</si>
  <si>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</si>
  <si>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</si>
  <si>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</si>
  <si>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</si>
  <si>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</si>
  <si>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</si>
  <si>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Jefferson State Community College</t>
  </si>
  <si>
    <t xml:space="preserve">John C. Calhoun State Community College </t>
  </si>
  <si>
    <t>Bevill State Community College</t>
  </si>
  <si>
    <t>Bishop State Community College</t>
  </si>
  <si>
    <t>Gadsden State Community College</t>
  </si>
  <si>
    <t>George C. Wallace State Community College - Dothan</t>
  </si>
  <si>
    <t>James H. Faulkner State Community College</t>
  </si>
  <si>
    <t xml:space="preserve">Lawson State Community College </t>
  </si>
  <si>
    <t xml:space="preserve">Northeast Alabama State Community College </t>
  </si>
  <si>
    <t>Northwest-Shoals Community College</t>
  </si>
  <si>
    <t>Shelton State Community College</t>
  </si>
  <si>
    <t>Southern Union State Community College</t>
  </si>
  <si>
    <t>Wallace Community College - Hanceville</t>
  </si>
  <si>
    <t>Alabama Southern Community College</t>
  </si>
  <si>
    <t>Central Alabama Community College</t>
  </si>
  <si>
    <t xml:space="preserve">Chattahoochee Valley State Community College </t>
  </si>
  <si>
    <r>
      <t>Enterprise</t>
    </r>
    <r>
      <rPr>
        <sz val="10"/>
        <rFont val="Arial"/>
        <family val="2"/>
      </rPr>
      <t xml:space="preserve"> State Community College</t>
    </r>
  </si>
  <si>
    <t>George Corley Wallace State Community College - Selma</t>
  </si>
  <si>
    <t>Jefferson Davis Community College</t>
  </si>
  <si>
    <t xml:space="preserve">Lurleen B. Wallace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</si>
  <si>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</si>
  <si>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</si>
  <si>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</si>
  <si>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</si>
  <si>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</si>
  <si>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University of Delaware</t>
  </si>
  <si>
    <t>Delaware State University</t>
  </si>
  <si>
    <t>Delaware Technical and Community College--Owens</t>
  </si>
  <si>
    <t>Delaware Technical and Community College--Stanton-Wilmington</t>
  </si>
  <si>
    <t>Delaware Technical and Community College--Terry</t>
  </si>
  <si>
    <t>Florida International University</t>
  </si>
  <si>
    <t xml:space="preserve">Florida State University </t>
  </si>
  <si>
    <t xml:space="preserve">University of Central Florida </t>
  </si>
  <si>
    <t>University of Florida</t>
  </si>
  <si>
    <t xml:space="preserve">University of South Florida </t>
  </si>
  <si>
    <t xml:space="preserve">Florida Atlantic University </t>
  </si>
  <si>
    <t xml:space="preserve">Florida Agricultural &amp; Mechanical University </t>
  </si>
  <si>
    <t>University of North Florida</t>
  </si>
  <si>
    <t>University of West Florida</t>
  </si>
  <si>
    <t>Florida Gulf Coast University</t>
  </si>
  <si>
    <t>New College of Florida</t>
  </si>
  <si>
    <t xml:space="preserve">Georgia State University </t>
  </si>
  <si>
    <t>University of Georgia</t>
  </si>
  <si>
    <t>Georgia Institute of Technology</t>
  </si>
  <si>
    <t>Georgia Southern University</t>
  </si>
  <si>
    <t>University of West Georgia</t>
  </si>
  <si>
    <t xml:space="preserve">Valdosta State University </t>
  </si>
  <si>
    <t xml:space="preserve">Albany State University </t>
  </si>
  <si>
    <t>Armstrong Atlantic State University</t>
  </si>
  <si>
    <t>Columbus State University</t>
  </si>
  <si>
    <t>Georgia College and State University</t>
  </si>
  <si>
    <t>Kennesaw State University</t>
  </si>
  <si>
    <t>Augusta State University</t>
  </si>
  <si>
    <t>Fort Valley State University</t>
  </si>
  <si>
    <t>Georgia Southwestern State University</t>
  </si>
  <si>
    <t>North Georgia College and State University</t>
  </si>
  <si>
    <t>Savannah State University</t>
  </si>
  <si>
    <t>Clayton State University</t>
  </si>
  <si>
    <t xml:space="preserve">Macon State College </t>
  </si>
  <si>
    <t xml:space="preserve">Dalton State College </t>
  </si>
  <si>
    <t xml:space="preserve">Gainesville State College </t>
  </si>
  <si>
    <t xml:space="preserve">Georgia Perimeter College </t>
  </si>
  <si>
    <t xml:space="preserve">Abraham Baldwin Agricultural College </t>
  </si>
  <si>
    <t xml:space="preserve">Bainbridge College </t>
  </si>
  <si>
    <t xml:space="preserve">College of Coastal Georgia </t>
  </si>
  <si>
    <t xml:space="preserve">Darton College </t>
  </si>
  <si>
    <t>Georgia Highlands College</t>
  </si>
  <si>
    <t xml:space="preserve">Gordon College </t>
  </si>
  <si>
    <t xml:space="preserve">Middle Georgia College </t>
  </si>
  <si>
    <t>Atlanta Metropolitan College</t>
  </si>
  <si>
    <t>East Georgia College</t>
  </si>
  <si>
    <t xml:space="preserve">South Georgia College </t>
  </si>
  <si>
    <t xml:space="preserve">Waycross College </t>
  </si>
  <si>
    <t>Georgia Gwinnett College</t>
  </si>
  <si>
    <t>Albany Technical College</t>
  </si>
  <si>
    <t>Altamaha Technical College</t>
  </si>
  <si>
    <t>Athens Technical College</t>
  </si>
  <si>
    <t>Atlanta Technical College</t>
  </si>
  <si>
    <t>Augusta Technical College</t>
  </si>
  <si>
    <t>Central Georgia Technical College</t>
  </si>
  <si>
    <t>Chattahoochee Technical College</t>
  </si>
  <si>
    <t>Columbus Technical College</t>
  </si>
  <si>
    <t>Georgia Northwestern Technical College</t>
  </si>
  <si>
    <t>Georgia Piedmont Technical College</t>
  </si>
  <si>
    <t>Formerly DeKalb Technical College.</t>
  </si>
  <si>
    <t>Gwinnett Technical College</t>
  </si>
  <si>
    <t>Lanier Technical College</t>
  </si>
  <si>
    <t>Middle Georgia Technical College</t>
  </si>
  <si>
    <t>Moultrie Technical College</t>
  </si>
  <si>
    <t>North Georgia Technical College</t>
  </si>
  <si>
    <t>Ogeechee Technical College</t>
  </si>
  <si>
    <t>Okefenokee Technical College</t>
  </si>
  <si>
    <t>Savannah Technical College</t>
  </si>
  <si>
    <t>South Georgia Technical College</t>
  </si>
  <si>
    <t>Southeastern Technical College</t>
  </si>
  <si>
    <t>Southern Crescent Technical College</t>
  </si>
  <si>
    <t>Southwest Georgia Technical College</t>
  </si>
  <si>
    <t>West Georgia Technical College</t>
  </si>
  <si>
    <t>Wiregrass Georgia Technical College</t>
  </si>
  <si>
    <t>Oconee Fall Line Technical College</t>
  </si>
  <si>
    <t>Is the merger of Heart of Georgia Tech and Sandersville Tech</t>
  </si>
  <si>
    <t>University of Kentucky</t>
  </si>
  <si>
    <t>University of Louisville</t>
  </si>
  <si>
    <t xml:space="preserve">Eastern Kentucky University </t>
  </si>
  <si>
    <t xml:space="preserve">Morehead State University </t>
  </si>
  <si>
    <t xml:space="preserve">Murray State University </t>
  </si>
  <si>
    <t xml:space="preserve">Western Kentucky University </t>
  </si>
  <si>
    <t xml:space="preserve">Kentucky State University </t>
  </si>
  <si>
    <t xml:space="preserve">Northern Kentucky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</si>
  <si>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</si>
  <si>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</si>
  <si>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</si>
  <si>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</si>
  <si>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</si>
  <si>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</si>
  <si>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</si>
  <si>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</si>
  <si>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</si>
  <si>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</si>
  <si>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</si>
  <si>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Hazard Community and Technical College</t>
  </si>
  <si>
    <t xml:space="preserve">Henderson Community College </t>
  </si>
  <si>
    <t xml:space="preserve">Hopkinsville Community College </t>
  </si>
  <si>
    <t>Bowling Green Technical College</t>
  </si>
  <si>
    <t>Gateway Community and Technical College</t>
  </si>
  <si>
    <t>Louisiana State University and A&amp;M College</t>
  </si>
  <si>
    <t xml:space="preserve">Louisiana Tech University </t>
  </si>
  <si>
    <t>quar</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</si>
  <si>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</si>
  <si>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</si>
  <si>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</si>
  <si>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</si>
  <si>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</si>
  <si>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</si>
  <si>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</si>
  <si>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</si>
  <si>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</si>
  <si>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</si>
  <si>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</si>
  <si>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</si>
  <si>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</si>
  <si>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 xml:space="preserve">Delgado Community College </t>
  </si>
  <si>
    <t>Bossier Parish Community College</t>
  </si>
  <si>
    <t>Louisiana State University at Eunice</t>
  </si>
  <si>
    <t>South Louisiana Community College</t>
  </si>
  <si>
    <t>Louisiana Delta Community College</t>
  </si>
  <si>
    <t>Nunez Community College</t>
  </si>
  <si>
    <t>River Parishes Community College</t>
  </si>
  <si>
    <t>Southern University in Shreveport</t>
  </si>
  <si>
    <t>Acadiana Technical College</t>
  </si>
  <si>
    <t>Capital Area Technical College</t>
  </si>
  <si>
    <t>Central LA Technical College</t>
  </si>
  <si>
    <t>Northeast Technical College</t>
  </si>
  <si>
    <t>Northshore Technical College</t>
  </si>
  <si>
    <t>Northwest LA Technical College</t>
  </si>
  <si>
    <t>South Central LA Technical College</t>
  </si>
  <si>
    <t>Sowela Technical Community College</t>
  </si>
  <si>
    <t>L.E. Fletcher Technical Community College</t>
  </si>
  <si>
    <t>Met the criteria for Four-Year 2 in 2010-11 and 2011-12.</t>
  </si>
  <si>
    <t>Met the criteria for Four-Year 2 in 2011-12.</t>
  </si>
  <si>
    <t>Met the criteria for Four-Year 3 in 2011-12.</t>
  </si>
  <si>
    <t>Met the criteria for Four-Year 4 in 2010-11 and 2011-12.</t>
  </si>
  <si>
    <t>Reclassified: met the criteria for Four-Year 5 in 2009-10, 2010-11 and 2011-12.</t>
  </si>
  <si>
    <t>Met the criteia for Four-Year 6 in 2011-12 but still (?) in start up phase?</t>
  </si>
  <si>
    <t>Reclassified: Met the criteria for Four-Year 6 in 2009-10, 2010-11 and 2011-12.</t>
  </si>
  <si>
    <t>Reclassified: Met the criteria for Two-Year 1 in 2009-10, 2010-11 and 2011-12.</t>
  </si>
  <si>
    <t>Reclassified: Met the criteria for Two-Year 2 in 2009-10, 2010-11 and 2011-12.</t>
  </si>
  <si>
    <t>Reclassified: Met the criteria for Two-Year 2 in 2009-10, 2010-11 and 2011-12. Formerly listed as Enterprise-Ozark Community College -- name changed in 2009.</t>
  </si>
  <si>
    <t>Met the criteria for Two-Year 2 in 2011-12.</t>
  </si>
  <si>
    <t>Met the criteria for Technical Institute 1 in 2010-11 and 2011-12.</t>
  </si>
  <si>
    <t xml:space="preserve">Met the criteria for Two-Year with Bachelor's in 2011-12. </t>
  </si>
  <si>
    <t>Reclassified: met the criteria for Two-Year with Bachelor's in 2009-10, 2010-11 and 2011-12.</t>
  </si>
  <si>
    <t>Reclassified: met the criteria for Two-Year 2 in 2009-10, 2010-11 and 2011-12.</t>
  </si>
  <si>
    <t>Met the criteria for classification as a Two-Year 1 in 2011-12.</t>
  </si>
  <si>
    <t>Met the criteria for classification as a Two-Year 2 in 2010-11 and 2011-12.</t>
  </si>
  <si>
    <t>Met the criteria for Two-Year 1 in 2010-11 and 2011-12.</t>
  </si>
  <si>
    <t>Reclassified: Met the criteria for Technical Institute or College 1 in 2009-10, 2010-11 and 2011-12.</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</si>
  <si>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</si>
  <si>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</si>
  <si>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</si>
  <si>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</si>
  <si>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</si>
  <si>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</si>
  <si>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</si>
  <si>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</si>
  <si>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 xml:space="preserve">North Carolina State University </t>
  </si>
  <si>
    <t xml:space="preserve">University of North Carolina at Chapel Hill </t>
  </si>
  <si>
    <t>University of North Carolina at Charlotte</t>
  </si>
  <si>
    <t>University of North Carolina at Greensboro</t>
  </si>
  <si>
    <t xml:space="preserve">Appalachian State University </t>
  </si>
  <si>
    <t xml:space="preserve">East Carolina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</si>
  <si>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</si>
  <si>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</si>
  <si>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</si>
  <si>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</si>
  <si>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</si>
  <si>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</si>
  <si>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</si>
  <si>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</si>
  <si>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</si>
  <si>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 xml:space="preserve">Canadian Valley Technology Center                 </t>
  </si>
  <si>
    <t xml:space="preserve">Francis Tuttle Technology Center                  </t>
  </si>
  <si>
    <t xml:space="preserve">Great Plains Technology Center                    </t>
  </si>
  <si>
    <t xml:space="preserve">Metro Technology Centers                          </t>
  </si>
  <si>
    <t xml:space="preserve">Tulsa Technology Center-Broken Arrow Campus       </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</si>
  <si>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</si>
  <si>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</si>
  <si>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</si>
  <si>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</si>
  <si>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</si>
  <si>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</si>
  <si>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</si>
  <si>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</si>
  <si>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</si>
  <si>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</si>
  <si>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</si>
  <si>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</si>
  <si>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</si>
  <si>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</si>
  <si>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</si>
  <si>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</si>
  <si>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</si>
  <si>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</si>
  <si>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</si>
  <si>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</si>
  <si>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</si>
  <si>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</si>
  <si>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</si>
  <si>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</si>
  <si>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Moore Norman Technology Center                    </t>
  </si>
  <si>
    <t xml:space="preserve">Northeast Technology Center-Afton                 </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</si>
  <si>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</si>
  <si>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</si>
  <si>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</si>
  <si>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</si>
  <si>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</si>
  <si>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</si>
  <si>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</si>
  <si>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</si>
  <si>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</si>
  <si>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</si>
  <si>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</si>
  <si>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Center-Lemley Campus             </t>
  </si>
  <si>
    <t xml:space="preserve">Tulsa Technology Center-Riverside Campus          </t>
  </si>
  <si>
    <t xml:space="preserve">Wes Watkins Technology Center                     </t>
  </si>
  <si>
    <t xml:space="preserve">Western Technology Center                         </t>
  </si>
  <si>
    <t>Northeast Technology Center-Claremore</t>
  </si>
  <si>
    <t>456560</t>
  </si>
  <si>
    <t xml:space="preserve">Texas A&amp;M University </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</si>
  <si>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</si>
  <si>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</si>
  <si>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</si>
  <si>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</si>
  <si>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</si>
  <si>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</si>
  <si>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</si>
  <si>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</si>
  <si>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</si>
  <si>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</si>
  <si>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</si>
  <si>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</si>
  <si>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A&amp;M University</t>
  </si>
  <si>
    <t xml:space="preserve">Sam Houston State University </t>
  </si>
  <si>
    <t>Stephen F. Austin State University</t>
  </si>
  <si>
    <t xml:space="preserve">Sul Ross State University </t>
  </si>
  <si>
    <t>Tarleton State University</t>
  </si>
  <si>
    <t>Texas A&amp;M International University</t>
  </si>
  <si>
    <t>Texas A&amp;M University-Commerce</t>
  </si>
  <si>
    <t xml:space="preserve">Texas A&amp;M University-Corpus Christi </t>
  </si>
  <si>
    <t>Texas A&amp;M University-Kingsville</t>
  </si>
  <si>
    <t xml:space="preserve">Texas Southern University </t>
  </si>
  <si>
    <t>Texas State University-San Marcos</t>
  </si>
  <si>
    <t xml:space="preserve">University of Houston-Clear Lake </t>
  </si>
  <si>
    <t>University of Texas at Brownsville</t>
  </si>
  <si>
    <t>University of Texas at Tyler</t>
  </si>
  <si>
    <t>University of Texas-Pan American</t>
  </si>
  <si>
    <t>West Texas A&amp;M University</t>
  </si>
  <si>
    <t>Texas A&amp;M -Texarkana</t>
  </si>
  <si>
    <t>University of Houston-Victoria</t>
  </si>
  <si>
    <t>University of Texas of the Permian Basin</t>
  </si>
  <si>
    <t>Sul Ross State University-Rio Grande College</t>
  </si>
  <si>
    <t>228501B</t>
  </si>
  <si>
    <t>University of Houston-Downtown</t>
  </si>
  <si>
    <t>Texas A&amp;M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</si>
  <si>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</si>
  <si>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</si>
  <si>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</si>
  <si>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</si>
  <si>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</si>
  <si>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</si>
  <si>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</si>
  <si>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</si>
  <si>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</si>
  <si>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</si>
  <si>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</si>
  <si>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</si>
  <si>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</si>
  <si>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</si>
  <si>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</si>
  <si>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</si>
  <si>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</si>
  <si>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</si>
  <si>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</si>
  <si>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</si>
  <si>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</si>
  <si>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</si>
  <si>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</si>
  <si>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</si>
  <si>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</si>
  <si>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</si>
  <si>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</si>
  <si>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</si>
  <si>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 xml:space="preserve">Texas Southmost College </t>
  </si>
  <si>
    <t xml:space="preserve">Tyler Junior College </t>
  </si>
  <si>
    <t xml:space="preserve">Alvin Community College </t>
  </si>
  <si>
    <t xml:space="preserve">Angelina College </t>
  </si>
  <si>
    <t>Cedar Valley College  (DCCCD)</t>
  </si>
  <si>
    <t>Cisco Junior College</t>
  </si>
  <si>
    <t>Coastal Bend College</t>
  </si>
  <si>
    <t>College of the Mainland</t>
  </si>
  <si>
    <t xml:space="preserve">Grayson County College </t>
  </si>
  <si>
    <t>Hill College</t>
  </si>
  <si>
    <t>Howard College (HCJCD)</t>
  </si>
  <si>
    <t xml:space="preserve">Kilgore College </t>
  </si>
  <si>
    <t>Lamar Institute of Technology</t>
  </si>
  <si>
    <t xml:space="preserve">Lee College </t>
  </si>
  <si>
    <t>Mountain View College  (DCCCD)</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</si>
  <si>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</si>
  <si>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</si>
  <si>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</si>
  <si>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</si>
  <si>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</si>
  <si>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</si>
  <si>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Texas State Technical College-Waco</t>
  </si>
  <si>
    <t>Trinity Valley Community College</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</si>
  <si>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</si>
  <si>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</si>
  <si>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</si>
  <si>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</si>
  <si>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</si>
  <si>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</si>
  <si>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</si>
  <si>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</si>
  <si>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Lamar State College-Port Arthur</t>
  </si>
  <si>
    <t>Northeast Lakeview College (ACCD)</t>
  </si>
  <si>
    <t>???</t>
  </si>
  <si>
    <t xml:space="preserve">Northeast Texas Community College </t>
  </si>
  <si>
    <t>Panola College</t>
  </si>
  <si>
    <t xml:space="preserve">Ranger College </t>
  </si>
  <si>
    <t>Southwest Collegiate Institute for the Deaf (HCJCD)</t>
  </si>
  <si>
    <t>Texas State Technical College-Marshall</t>
  </si>
  <si>
    <t>Texas State Technical College-West Texas</t>
  </si>
  <si>
    <t xml:space="preserve">Western Texas College </t>
  </si>
  <si>
    <t>Texas A &amp; M University - Central Texas</t>
  </si>
  <si>
    <t>Texas A &amp; M University - San Antonio</t>
  </si>
  <si>
    <t>870501</t>
  </si>
  <si>
    <t>University of North Texas at Dallas</t>
  </si>
  <si>
    <t>New fall 2009. No degrees yet granted.</t>
  </si>
  <si>
    <t>Alamo Community College District (ACCD)</t>
  </si>
  <si>
    <t>Dallas County Community College District (DCCD)</t>
  </si>
  <si>
    <t>Howard County Community/Junior College District (HCJCD)</t>
  </si>
  <si>
    <t>University of Memphis</t>
  </si>
  <si>
    <t>University of Tennessee, Knoxville</t>
  </si>
  <si>
    <t xml:space="preserve">Austin Peay State University </t>
  </si>
  <si>
    <t xml:space="preserve">East Tennessee State University </t>
  </si>
  <si>
    <t xml:space="preserve">Middle Tennessee State University </t>
  </si>
  <si>
    <t xml:space="preserve">Tennessee State University </t>
  </si>
  <si>
    <t xml:space="preserve">Tennessee Technological University </t>
  </si>
  <si>
    <t>University of Tennessee at Chattanooga</t>
  </si>
  <si>
    <t>University of Tennessee at Martin</t>
  </si>
  <si>
    <t xml:space="preserve">Chattanooga State Technical Community College </t>
  </si>
  <si>
    <t>Pellissippi State Technical Community College</t>
  </si>
  <si>
    <t>Southwest Tennessee Community College</t>
  </si>
  <si>
    <t xml:space="preserve">Cleveland State Community College </t>
  </si>
  <si>
    <t xml:space="preserve">Columbia State Community College </t>
  </si>
  <si>
    <t xml:space="preserve">Jackson State Community College </t>
  </si>
  <si>
    <t xml:space="preserve">Motlow State Community College </t>
  </si>
  <si>
    <t>Nashville State Technical Community College</t>
  </si>
  <si>
    <t>Northeast State Technical Community College</t>
  </si>
  <si>
    <t xml:space="preserve">Roane State Community College </t>
  </si>
  <si>
    <t xml:space="preserve">Volunteer State Community College </t>
  </si>
  <si>
    <t xml:space="preserve">Walters State Community College </t>
  </si>
  <si>
    <t xml:space="preserve">Dyersburg State Community College </t>
  </si>
  <si>
    <t>Tennessee Technology Center at Athens</t>
  </si>
  <si>
    <t>Tennessee Technology Center at Chattanooga</t>
  </si>
  <si>
    <t>219824B</t>
  </si>
  <si>
    <t>Tennessee Technology Center at Covington</t>
  </si>
  <si>
    <t>Tennessee Technology Center at Crossville</t>
  </si>
  <si>
    <t>Tennessee Technology Center at Crump</t>
  </si>
  <si>
    <t>Tennessee Technology Center at Dickson</t>
  </si>
  <si>
    <t>Tennessee Technology Center at Elizabethton</t>
  </si>
  <si>
    <t>Tennessee Technology Center at Harriman</t>
  </si>
  <si>
    <t>Tennessee Technology Center at Hartsville</t>
  </si>
  <si>
    <t>Tennessee Technology Center at Hohenwald</t>
  </si>
  <si>
    <t>Tennessee Technology Center at Jacksboro</t>
  </si>
  <si>
    <t>Tennessee Technology Center at Jackson</t>
  </si>
  <si>
    <t>Tennessee Technology Center at Knoxville</t>
  </si>
  <si>
    <t>Tennessee Technology Center at Livingston</t>
  </si>
  <si>
    <t>Tennessee Technology Center at McKenzie</t>
  </si>
  <si>
    <t>Tennessee Technology Center at McMinnville</t>
  </si>
  <si>
    <t>Tennessee Technology Center at Memphis</t>
  </si>
  <si>
    <t>Tennessee Technology Center at Morristown</t>
  </si>
  <si>
    <t>Tennessee Technology Center at Murfreesboro</t>
  </si>
  <si>
    <t>Tennessee Technology Center at Nashville</t>
  </si>
  <si>
    <t>Tennessee Technology Center at Newbern</t>
  </si>
  <si>
    <t>Tennessee Technology Center at Oneida</t>
  </si>
  <si>
    <t>Tennessee Technology Center at Paris</t>
  </si>
  <si>
    <t>Tennessee Technology Center at Pulaski</t>
  </si>
  <si>
    <t>Tennessee Technology Center at Ripley</t>
  </si>
  <si>
    <t>Tennessee Technology Center at Shelbyville</t>
  </si>
  <si>
    <t>Tennessee Technology Center at Whiteville</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</si>
  <si>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</si>
  <si>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</si>
  <si>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</si>
  <si>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</si>
  <si>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</si>
  <si>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</si>
  <si>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</si>
  <si>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</si>
  <si>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</si>
  <si>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Institute of Technology</t>
  </si>
  <si>
    <t>Potomac State College of West Virginia University</t>
  </si>
  <si>
    <t>West Virginia University at Parkersburg</t>
  </si>
  <si>
    <t>Blue Ridge Community &amp; Technical College</t>
  </si>
  <si>
    <t>Bridgemont Community &amp; Technical College</t>
  </si>
  <si>
    <t>Eastern West Virginia Community &amp; Technical College</t>
  </si>
  <si>
    <t>Kanawha Valley Community &amp; Technical College</t>
  </si>
  <si>
    <t>Mountwest Community &amp; Technical College</t>
  </si>
  <si>
    <t>New River Community &amp; Technical College</t>
  </si>
  <si>
    <t>Pierpont Community &amp; Technical College</t>
  </si>
  <si>
    <t xml:space="preserve">Southern West Virginia Community &amp; Technical College </t>
  </si>
  <si>
    <t>West Virginia Northern Community College</t>
  </si>
  <si>
    <t>Met the criteria for Four-Year 1 in 2011-12.</t>
  </si>
  <si>
    <t>Reclassified: met the criteria for Four-Year 1 in 2009-10, 2010-11 and 2011-12.</t>
  </si>
  <si>
    <t>Met the criteria for Four-Year 1 in 2010-11 and 2011-12.</t>
  </si>
  <si>
    <t>Reclassified: Met the criteria for Four-Year 3 in 2009-10, 2010-11 and 2011-12.</t>
  </si>
  <si>
    <t>New fall 2009. Met the criteria for Four-Year 4 in 2010-11 and 2011-12.</t>
  </si>
  <si>
    <t>New fall 2009. Met the criteria for Four-Year 5 in 2010-11 and 2011-12.</t>
  </si>
  <si>
    <t>Reclassified: met criteria for Technical Institute or College 2 in 2009-10, 2010-11 and 2011-12.</t>
  </si>
  <si>
    <t xml:space="preserve">New institution no longer in start up phase. </t>
  </si>
  <si>
    <t>Reclassified: Met criteria for Two-Year 1 in 2009-10, 2010-11 and 2011-12.</t>
  </si>
  <si>
    <t>Met the criteria for Two-Year 1 in 2010-11 amd 2011-12.</t>
  </si>
  <si>
    <t>Reclassified: Met criteria for Two-Year 2 in 2009-10, 2010-11 and 2011-12.</t>
  </si>
  <si>
    <t>Met criteria for Two-Year 2 in 2010-11 and 2011-12.</t>
  </si>
  <si>
    <t>Asheville-Buncombe Technical Community College</t>
  </si>
  <si>
    <t>Cape Fear Community College</t>
  </si>
  <si>
    <t xml:space="preserve">Central Piedmont Community College </t>
  </si>
  <si>
    <t>Fayetteville Technical Community College</t>
  </si>
  <si>
    <t>Forsyth Technical Community College</t>
  </si>
  <si>
    <t xml:space="preserve">Gaston College </t>
  </si>
  <si>
    <t>Guilford Technical Community College</t>
  </si>
  <si>
    <t>Pitt Community College</t>
  </si>
  <si>
    <t>Rowan-Cabarrus Community College</t>
  </si>
  <si>
    <t>Wake Technical Community College</t>
  </si>
  <si>
    <t>Alamance Community College</t>
  </si>
  <si>
    <t>Caldwell Community College &amp; Technical Institute</t>
  </si>
  <si>
    <t>Catawba Valley Community College</t>
  </si>
  <si>
    <t>Central Carolina Commuity College</t>
  </si>
  <si>
    <t>Cleveland Community College</t>
  </si>
  <si>
    <t xml:space="preserve">Coastal Carolina Community College </t>
  </si>
  <si>
    <t xml:space="preserve">Craven Community College </t>
  </si>
  <si>
    <t xml:space="preserve">Davidson County Community College </t>
  </si>
  <si>
    <t>Durham Technical Community College</t>
  </si>
  <si>
    <t>Edgecombe Community College</t>
  </si>
  <si>
    <t>Haywood Community College</t>
  </si>
  <si>
    <t xml:space="preserve">Isothermal Community College </t>
  </si>
  <si>
    <t>Johnston Community College</t>
  </si>
  <si>
    <t xml:space="preserve">Lenoir Community College </t>
  </si>
  <si>
    <t xml:space="preserve">Mitchell Community College </t>
  </si>
  <si>
    <t>Nash Community College</t>
  </si>
  <si>
    <t>Randolph Community College</t>
  </si>
  <si>
    <t>Robeson Community College</t>
  </si>
  <si>
    <t xml:space="preserve">Sandhills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</si>
  <si>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</si>
  <si>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</si>
  <si>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</si>
  <si>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</si>
  <si>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</si>
  <si>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</si>
  <si>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 xml:space="preserve">Beaufort County Community College </t>
  </si>
  <si>
    <t>Bladen Community College</t>
  </si>
  <si>
    <t>Blue Ridge Community College</t>
  </si>
  <si>
    <t>Brunswick Community College</t>
  </si>
  <si>
    <t>Carteret Community College</t>
  </si>
  <si>
    <t>College of the Albemarle</t>
  </si>
  <si>
    <t xml:space="preserve">Halifax Community College </t>
  </si>
  <si>
    <t>James Sprunt Community College</t>
  </si>
  <si>
    <t xml:space="preserve">Martin Community College </t>
  </si>
  <si>
    <t>Mayland Community College</t>
  </si>
  <si>
    <t>McDowell Technical Community College</t>
  </si>
  <si>
    <t>Montgomery Community College</t>
  </si>
  <si>
    <t>Pamlico Community College</t>
  </si>
  <si>
    <t>Piedmont Community College</t>
  </si>
  <si>
    <t>Richmond Community College</t>
  </si>
  <si>
    <t>Roanoke-Chowan Community College</t>
  </si>
  <si>
    <t xml:space="preserve">Rockingham Community College </t>
  </si>
  <si>
    <t>Sampson Community College</t>
  </si>
  <si>
    <t>South Piedmont Community College</t>
  </si>
  <si>
    <t xml:space="preserve">Southeastern Community College </t>
  </si>
  <si>
    <t xml:space="preserve">Southwestern Community College </t>
  </si>
  <si>
    <t xml:space="preserve">Tri-County Community College </t>
  </si>
  <si>
    <t>Wilson Community College</t>
  </si>
  <si>
    <t>Met criteria for Two-Year 2 in 2011-12.</t>
  </si>
  <si>
    <t>Met criteria for Two-Year 3 in 2011-12.</t>
  </si>
  <si>
    <t>Reclassified: Met the criteria for Four-Year 2 in 2009-10, 2010-11, and 2011-12.</t>
  </si>
  <si>
    <t>Met the criteria for Four-Year 4 in 2011-12.</t>
  </si>
  <si>
    <t>Reclassified: Met the criteria for Two-year 1 in 2009-10, 2010-11, and 2011-12.</t>
  </si>
  <si>
    <t>Reclassified: Met the criteria for Two-year 2 in 2009-10, 2010-11, and 2011-12.</t>
  </si>
  <si>
    <t>Met the criteria for Technical Institute or College 1 in 2010-11 and 2011-12.</t>
  </si>
  <si>
    <t>Met the criteria for Technical Institute or College 1 in 2011-12.</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</si>
  <si>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</si>
  <si>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</si>
  <si>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</si>
  <si>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</si>
  <si>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</si>
  <si>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</si>
  <si>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</si>
  <si>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</si>
  <si>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</si>
  <si>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</si>
  <si>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</si>
  <si>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</si>
  <si>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</si>
  <si>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</si>
  <si>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</si>
  <si>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Met criteria for Two-Year 2 2011-12.</t>
  </si>
  <si>
    <t>Met criteria for Two-Year 3 2011-12.</t>
  </si>
  <si>
    <t>University of Maryland College Park</t>
  </si>
  <si>
    <t>University of Maryland, Baltimore County</t>
  </si>
  <si>
    <t>Morgan State University</t>
  </si>
  <si>
    <t xml:space="preserve">Towson University </t>
  </si>
  <si>
    <t xml:space="preserve">Bowie State University </t>
  </si>
  <si>
    <t>Coppin State University</t>
  </si>
  <si>
    <t xml:space="preserve">Frostburg State University </t>
  </si>
  <si>
    <t xml:space="preserve">Salisbury University </t>
  </si>
  <si>
    <t>University of Baltimore</t>
  </si>
  <si>
    <t xml:space="preserve">University of Maryland Eastern Shore </t>
  </si>
  <si>
    <t>Saint Mary's College of Maryland</t>
  </si>
  <si>
    <t xml:space="preserve">Anne Arundel Community College </t>
  </si>
  <si>
    <t>Community College of Baltimore County (all campuses)</t>
  </si>
  <si>
    <t>Montgomery College (all campuses)</t>
  </si>
  <si>
    <t xml:space="preserve">Prince George's Community College </t>
  </si>
  <si>
    <t>Allegany College of Maryland</t>
  </si>
  <si>
    <t>Baltimore City Community College</t>
  </si>
  <si>
    <t>Carroll Community College</t>
  </si>
  <si>
    <t>College of Southern Maryland</t>
  </si>
  <si>
    <t xml:space="preserve">Frederick Community College </t>
  </si>
  <si>
    <t xml:space="preserve">Hagerstown Community College </t>
  </si>
  <si>
    <t xml:space="preserve">Harford Community College </t>
  </si>
  <si>
    <t xml:space="preserve">Howard Community College </t>
  </si>
  <si>
    <t xml:space="preserve">Wor-Wic Community College </t>
  </si>
  <si>
    <t xml:space="preserve">Cecil Community College </t>
  </si>
  <si>
    <t xml:space="preserve">Chesapeake College </t>
  </si>
  <si>
    <t xml:space="preserve">Garrett College </t>
  </si>
  <si>
    <t>Reclassified: Met the criteria for  Four-Year 2 in 2009-10, 2010-11 and 2011-12.</t>
  </si>
  <si>
    <t>Met the criteria for Four-Year 5 in 2010-11 and 2011-12.</t>
  </si>
  <si>
    <t>Met the criteria for Two-Year 1 in 2011-12.</t>
  </si>
  <si>
    <t>Reclassified: Met the criteria for Two-Year 1 in 2009-10, 2010-11, and 2011-12.</t>
  </si>
  <si>
    <t xml:space="preserve">George Mason University </t>
  </si>
  <si>
    <t xml:space="preserve">Old Dominion University </t>
  </si>
  <si>
    <t>University of Virginia</t>
  </si>
  <si>
    <t xml:space="preserve">Virginia Tech </t>
  </si>
  <si>
    <t>College of William &amp; Mary</t>
  </si>
  <si>
    <t>Virginia Commonwealth University</t>
  </si>
  <si>
    <t xml:space="preserve">James Madison University  </t>
  </si>
  <si>
    <t xml:space="preserve">Norfolk State University </t>
  </si>
  <si>
    <t xml:space="preserve">Longwood University </t>
  </si>
  <si>
    <t>Radford University</t>
  </si>
  <si>
    <t xml:space="preserve">Virginia State University </t>
  </si>
  <si>
    <t>Christopher Newport University</t>
  </si>
  <si>
    <t xml:space="preserve">University of Mary Washington </t>
  </si>
  <si>
    <t xml:space="preserve">University of Virginia's College at Wise </t>
  </si>
  <si>
    <t>J.S. Reynolds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</si>
  <si>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</si>
  <si>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</si>
  <si>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</si>
  <si>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</si>
  <si>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</si>
  <si>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</si>
  <si>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</si>
  <si>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John Tyler Community College</t>
  </si>
  <si>
    <t xml:space="preserve">Lord Fairfax Community College  </t>
  </si>
  <si>
    <t xml:space="preserve">New River Community College </t>
  </si>
  <si>
    <t xml:space="preserve">Piedmont Virginia Community College </t>
  </si>
  <si>
    <t xml:space="preserve">Southside Virginia Community College  </t>
  </si>
  <si>
    <t xml:space="preserve">Southwest Virginia Community College </t>
  </si>
  <si>
    <t xml:space="preserve">Virginia Western Community College </t>
  </si>
  <si>
    <t xml:space="preserve">D.S. Lancaster Community College </t>
  </si>
  <si>
    <t xml:space="preserve">Eastern Shore Community College  </t>
  </si>
  <si>
    <t>Mountain Empire Community College</t>
  </si>
  <si>
    <t xml:space="preserve">Patrick Henry Community College </t>
  </si>
  <si>
    <t xml:space="preserve">Paul D. Camp Community College  </t>
  </si>
  <si>
    <t xml:space="preserve">Rappahannock Community College  </t>
  </si>
  <si>
    <t xml:space="preserve">Richard Bland College </t>
  </si>
  <si>
    <t xml:space="preserve">Virginia Highlands Community College </t>
  </si>
  <si>
    <t xml:space="preserve">Wytheville Community College </t>
  </si>
  <si>
    <t>Richard Bland College B</t>
  </si>
  <si>
    <t>All Community Colleges except R. Bland</t>
  </si>
  <si>
    <t>Met the criteria for Four-Year 1 in 2011-2012</t>
  </si>
  <si>
    <t>Met the criteria for Four-Year 3 in 2011-2012</t>
  </si>
  <si>
    <t>Met the criteria for Four-Year 4 in 2011-2012</t>
  </si>
  <si>
    <t>Reclassified: Met the criteria for Two-Year 2 in 2009-10, 2010-11, and 2011-12.</t>
  </si>
  <si>
    <t>Oklahoma State University Main Campus</t>
  </si>
  <si>
    <t>University of Oklahoma Norman Campus</t>
  </si>
  <si>
    <t>Northeastern State University</t>
  </si>
  <si>
    <t>University of Central Oklahoma</t>
  </si>
  <si>
    <t xml:space="preserve">Cameron University </t>
  </si>
  <si>
    <t xml:space="preserve">East Central University </t>
  </si>
  <si>
    <t>Langston University</t>
  </si>
  <si>
    <t xml:space="preserve">Northwestern Oklahoma State University </t>
  </si>
  <si>
    <t xml:space="preserve">Southeastern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</si>
  <si>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</si>
  <si>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</si>
  <si>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</si>
  <si>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</si>
  <si>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</si>
  <si>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 xml:space="preserve">Oklahoma City Community College </t>
  </si>
  <si>
    <t xml:space="preserve">Tulsa Community College </t>
  </si>
  <si>
    <t xml:space="preserve">Northern Oklahoma College </t>
  </si>
  <si>
    <t xml:space="preserve">Oklahoma State University-Oklahoma City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</si>
  <si>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</si>
  <si>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</si>
  <si>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</si>
  <si>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</si>
  <si>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</si>
  <si>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</si>
  <si>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</si>
  <si>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</si>
  <si>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</si>
  <si>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Reclassified: Met criteria for Two-Year with Bachelor's in 2009-10, 2010-11, and 2011-12.</t>
  </si>
  <si>
    <t>Reclassified: Met the criteria for Two-Year 1 institution in 2009-10, 2010-11, and 2011-12.</t>
  </si>
  <si>
    <t>Met the criteria for Two-Year 2 institution in 2010-11 and 2011-12.</t>
  </si>
  <si>
    <t>Met the criteria for Two-Year 2 institution in 2011-12.</t>
  </si>
  <si>
    <t>Clemson University</t>
  </si>
  <si>
    <t>College of Charleston</t>
  </si>
  <si>
    <t>University of South Carolina-Columbia</t>
  </si>
  <si>
    <t xml:space="preserve">The Citadel, the Military College of South Carolina </t>
  </si>
  <si>
    <t xml:space="preserve">Winthrop University </t>
  </si>
  <si>
    <t>Coastal Carolina University</t>
  </si>
  <si>
    <t xml:space="preserve">Francis Marion University </t>
  </si>
  <si>
    <t>Lander University</t>
  </si>
  <si>
    <t xml:space="preserve">South Carolina State University </t>
  </si>
  <si>
    <t>University of South Carolina-Aiken</t>
  </si>
  <si>
    <t>University of South Carolina-Beaufort</t>
  </si>
  <si>
    <t>University of South Carolina-Upstate</t>
  </si>
  <si>
    <t xml:space="preserve">Greenville Technical College </t>
  </si>
  <si>
    <t xml:space="preserve">Midlands Technical College </t>
  </si>
  <si>
    <t xml:space="preserve">Trident Technical College </t>
  </si>
  <si>
    <t xml:space="preserve">Aiken Technical College </t>
  </si>
  <si>
    <t xml:space="preserve">Central Carolina Technical College </t>
  </si>
  <si>
    <t xml:space="preserve">Florence-Darlington Technical College </t>
  </si>
  <si>
    <t xml:space="preserve">Horry-Georgetown Technical College </t>
  </si>
  <si>
    <t xml:space="preserve">Orangeburg-Calhoun Technical College </t>
  </si>
  <si>
    <t xml:space="preserve">Piedmont Technical College </t>
  </si>
  <si>
    <t xml:space="preserve">Spartanburg Community College </t>
  </si>
  <si>
    <t xml:space="preserve">Tri-County Technical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</si>
  <si>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</si>
  <si>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</si>
  <si>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</si>
  <si>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</si>
  <si>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</si>
  <si>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</si>
  <si>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</si>
  <si>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</si>
  <si>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</si>
  <si>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Met the criteria for Two-year 1 in 2010-11 and 2011-12.</t>
  </si>
  <si>
    <t>Northwest Florida State College</t>
  </si>
  <si>
    <t xml:space="preserve">St. Petersburg College </t>
  </si>
  <si>
    <t xml:space="preserve">Brevard Community College </t>
  </si>
  <si>
    <t xml:space="preserve">Broward College </t>
  </si>
  <si>
    <t>College of Central Florida</t>
  </si>
  <si>
    <t>Florida State College at Jacksonville</t>
  </si>
  <si>
    <t xml:space="preserve">Hillsborough Community College </t>
  </si>
  <si>
    <t xml:space="preserve">Indian River State College </t>
  </si>
  <si>
    <t xml:space="preserve">Palm Beach State College </t>
  </si>
  <si>
    <t xml:space="preserve">Pasco-Hernando Community College </t>
  </si>
  <si>
    <t xml:space="preserve">Pensacola State College </t>
  </si>
  <si>
    <t xml:space="preserve">Polk State College </t>
  </si>
  <si>
    <t xml:space="preserve">Santa Fe College </t>
  </si>
  <si>
    <t>Seminole State College of Florida</t>
  </si>
  <si>
    <t>State College of Florida, Manatee-Sarasota</t>
  </si>
  <si>
    <t xml:space="preserve">Tallahassee Community College </t>
  </si>
  <si>
    <t xml:space="preserve">Valencia Community College </t>
  </si>
  <si>
    <t xml:space="preserve">Gulf Coast Community College </t>
  </si>
  <si>
    <t xml:space="preserve">Lake City Community College </t>
  </si>
  <si>
    <t xml:space="preserve">Lake-Sumter Community College </t>
  </si>
  <si>
    <t xml:space="preserve">South Florida Community College </t>
  </si>
  <si>
    <t xml:space="preserve">St. Johns River Community College </t>
  </si>
  <si>
    <t xml:space="preserve">Florida Keys Community College </t>
  </si>
  <si>
    <t xml:space="preserve">North Florida Community College </t>
  </si>
  <si>
    <t xml:space="preserve">Chipola College </t>
  </si>
  <si>
    <t xml:space="preserve">Daytona State College </t>
  </si>
  <si>
    <t xml:space="preserve">Edison State College </t>
  </si>
  <si>
    <t xml:space="preserve">Miami Dade College </t>
  </si>
  <si>
    <t>Met the criteria for Two-Year with Bachelor's in 2011-12.</t>
  </si>
  <si>
    <t xml:space="preserve"> HS Percentage-point Change</t>
  </si>
  <si>
    <t>Total  HS Percentage-point Change</t>
  </si>
  <si>
    <t>Do not use regional figures until all states participate in the H.S. hour survey.</t>
  </si>
  <si>
    <t>=+GETPIVOTDATA("Sum of Old-HS % of Total",'Pivot-HS Student % of Undergrad'!$A$3,"Category",7,"Category2","Two-Year")</t>
  </si>
  <si>
    <t>Public Four-Year Institutions, 2011-12</t>
  </si>
  <si>
    <t>Notes: Full-year full-time-equivalent (FTE) undergraduate enrollment for 2011-12 is estimated by taking the credit hours from calendar year 2011 (i.e. winter, spring, summer and fall terms of 2011) and by dividing total undergraduate semester credit hours by 30 and total undergraduate quarter hours by 45.</t>
  </si>
  <si>
    <t>Public Two-Year Colleges and Technical Institutes or Colleges, 2011-12</t>
  </si>
  <si>
    <t>Public Two-Year Colleges, 2011-12</t>
  </si>
  <si>
    <t>=+GETPIVOTDATA("Sum of Old-HS % of Total",'Pivot-HS Student % of Undergrad'!$A$3,"Category",1,"Category2","Four-Year")</t>
  </si>
  <si>
    <t>=+GETPIVOTDATA("Sum of Old-HS % of Total",'Pivot-HS Student % of Undergrad'!$A$3,"Category",2,"Category2","Four-Year")</t>
  </si>
  <si>
    <t>=+GETPIVOTDATA("Sum of Old-HS % of Total",'Pivot-HS Student % of Undergrad'!$A$3,"Category",3,"Category2","Four-Year")</t>
  </si>
  <si>
    <t>=+GETPIVOTDATA("Sum of Old-HS % of Total",'Pivot-HS Student % of Undergrad'!$A$3,"Category",4,"Category2","Four-Year")</t>
  </si>
  <si>
    <t>=+GETPIVOTDATA("Sum of Old-HS % of Total",'Pivot-HS Student % of Undergrad'!$A$3,"Category",5,"Category2","Four-Year")</t>
  </si>
  <si>
    <t>=+GETPIVOTDATA("Sum of Old-HS % of Total",'Pivot-HS Student % of Undergrad'!$A$3,"Category",6,"Category2","Four-Year")</t>
  </si>
  <si>
    <t>=+GETPIVOTDATA("Sum of Old-HS % of Total",'Pivot-HS Student % of Undergrad'!$A$3,"Category2","Four-Year")</t>
  </si>
  <si>
    <t>=+GETPIVOTDATA("Sum of Old-HS % of Total",'Pivot-HS Student % of Undergrad'!$A$3,"Category",8,"Category2","Two-Year")</t>
  </si>
  <si>
    <t>=+GETPIVOTDATA("Sum of Old-HS % of Total",'Pivot-HS Student % of Undergrad'!$A$3,"Category",9,"Category2","Two-Year")</t>
  </si>
  <si>
    <t>=+GETPIVOTDATA("Sum of Old-HS % of Total",'Pivot-HS Student % of Undergrad'!$A$3,"Category",10,"Category2","Two-Year")</t>
  </si>
  <si>
    <t>=+GETPIVOTDATA("Sum of Old-HS % of Total",'Pivot-HS Student % of Undergrad'!$A$3,"Category2","Two-Year")</t>
  </si>
  <si>
    <t>Notes: Full-year full-time-equivalent (FTE) graduate enrollment for 2011-12 is estimated by taking the credit hours from calendar year 2011 (i.e. winter, spring, summer and fall terms of 2011) and by dividing total graduate semester credit hours by 24 and total graduate quarter hours by 36.</t>
  </si>
  <si>
    <t>Notes: Full-year full-time-equivalent (FTE) enrollment for 2011-12 is estimated by taking the credit hours from calendar year 2011 (i.e. winter, spring, summer and fall terms of 2011), and by dividing total undergraduate semester credit hours by 30; total undergraduate quarter hours by 45; total graduate semester credit hours by 24; and total graduate quarter hours by 36.</t>
  </si>
  <si>
    <t>Public Four-Year Institutions, 2010-11</t>
  </si>
  <si>
    <t>Notes: Full-year full-time-equivalent (FTE) undergraduate enrollment for 2010-11 is estimated by taking the credit hours from calendar year 2010 (i.e. winter, spring, summer and fall terms of 2010) and by dividing total undergraduate semester credit hours by 30 and total undergraduate quarter hours by 45.</t>
  </si>
  <si>
    <t>Notes: Full-year full-time-equivalent (FTE) undergraduate enrollment for 2010-11 is estimated by taking the credit hours from calendar year 2010 (i.e. winter, spring, summer and fall terms of 2010) and by dividing total graduate semester credit hours by 24 and total graduate quarter hours by 36.</t>
  </si>
  <si>
    <t>Notes: Full-year full-time-equivalent (FTE) undergraduate enrollment for 2010-11 is estimated by taking the credit hours from calendar year 2010 (i.e. winter, spring, summer and fall terms of 2010) and by dividing total undergraduate semester credit hours by 30; total undergraduate quarter hours by 45; total graduate semester hours by 24; and total graduate quarter hours by 36.</t>
  </si>
  <si>
    <t>Public Two-Year Colleges and Technical Institutes or Colleges, 2010-11</t>
  </si>
  <si>
    <t>Public Two-Year Colleges, 2010-11</t>
  </si>
  <si>
    <t xml:space="preserve">Notes:  Full-year full-time-equivalent (FTE) undergraduate enrollment for 2010-11 is estimated by taking the credit hours from calendar year 2010 (i.e. winter, spring, summer and fall terms of 2010) and by dividing total undergraduate semester credit hours by 30; total undergraduate quarter hours by 45; total undergraduate contact hours by 900 (the equivalent of a 30 hour week); total graduate semester credit hours by 24; and total graduate quarter hours by 36. </t>
  </si>
  <si>
    <t>11</t>
  </si>
  <si>
    <t>All CC - Bland</t>
  </si>
  <si>
    <t>11 Total</t>
  </si>
  <si>
    <t>all 8's</t>
  </si>
  <si>
    <t>all 9's</t>
  </si>
  <si>
    <t>All'10's except R.B.</t>
  </si>
  <si>
    <t>Public Technical Institutes or Colleges, 2011-12</t>
  </si>
  <si>
    <t xml:space="preserve"> and Technical Institutes or Colleges, 2011-12</t>
  </si>
  <si>
    <t>January 2013</t>
  </si>
  <si>
    <r>
      <t>Notes:  Full-year full-time-equivalent (FTE) undergraduate enrollment for 2011-12 is estimated by taking the credit hours from calendar year 2011 (i.e. winter, spring, summer and fall terms of 2011) and by dividing total undergraduate semester credit hours by 30; total undergraduate contact hours by 900 (the equivalent of a 30 hour week);</t>
    </r>
    <r>
      <rPr>
        <sz val="8"/>
        <color rgb="FFFF0000"/>
        <rFont val="Arial"/>
        <family val="2"/>
      </rPr>
      <t xml:space="preserve"> </t>
    </r>
    <r>
      <rPr>
        <sz val="8"/>
        <color theme="1"/>
        <rFont val="Arial"/>
        <family val="2"/>
      </rPr>
      <t>and total graduate semester credit hours by 24</t>
    </r>
    <r>
      <rPr>
        <sz val="8"/>
        <rFont val="Arial"/>
        <family val="2"/>
      </rPr>
      <t xml:space="preserve">. </t>
    </r>
  </si>
  <si>
    <t xml:space="preserve">Notes:  Full-year full-time-equivalent (FTE) undergraduate enrollment for 2011-12 is estimated by taking the credit hours from calendar year 2011 (i.e. winter, spring, summer and fall terms of 2011) and by dividing total undergraduate semester credit hours by 30; total undergraduate quarter hours by 45; total undergraduate contact hours by 900 (the equivalent of a 30 hour week); total graduate semester credit hours by 24; and total graduate quarter hours by 36.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</si>
</sst>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_)"/>
    <numFmt numFmtId="165" formatCode="_(* #,##0_);_(* \(#,##0\);_(* &quot;-&quot;??_);_(@_)"/>
    <numFmt numFmtId="166" formatCode="#,##0.0"/>
    <numFmt numFmtId="167" formatCode="General_)"/>
    <numFmt numFmtId="168" formatCode="0.0%"/>
    <numFmt numFmtId="169" formatCode="0.0"/>
    <numFmt numFmtId="170" formatCode="0.000"/>
    <numFmt numFmtId="171" formatCode="#,##0.000"/>
    <numFmt numFmtId="172" formatCode="0.000%"/>
  </numFmts>
  <fonts count="62">
    <font>
      <sz val="8"/>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Garamond"/>
      <family val="3"/>
    </font>
    <font>
      <sz val="12"/>
      <name val="AGaramond"/>
      <family val="1"/>
    </font>
    <font>
      <sz val="8"/>
      <name val="Arial"/>
      <family val="2"/>
    </font>
    <font>
      <sz val="9"/>
      <name val="Arial"/>
      <family val="2"/>
    </font>
    <font>
      <sz val="10"/>
      <name val="Arial"/>
      <family val="2"/>
    </font>
    <font>
      <sz val="14"/>
      <name val="Arial"/>
      <family val="2"/>
    </font>
    <font>
      <sz val="12"/>
      <name val="Arial"/>
      <family val="2"/>
    </font>
    <font>
      <b/>
      <sz val="12"/>
      <name val="Arial"/>
      <family val="2"/>
    </font>
    <font>
      <sz val="8"/>
      <name val="Arial"/>
      <family val="2"/>
    </font>
    <font>
      <b/>
      <sz val="8"/>
      <color indexed="81"/>
      <name val="Tahoma"/>
      <family val="2"/>
    </font>
    <font>
      <sz val="8"/>
      <color indexed="81"/>
      <name val="Tahoma"/>
      <family val="2"/>
    </font>
    <font>
      <b/>
      <sz val="14"/>
      <name val="Arial"/>
      <family val="2"/>
    </font>
    <font>
      <b/>
      <sz val="10"/>
      <name val="Arial"/>
      <family val="2"/>
    </font>
    <font>
      <b/>
      <sz val="9"/>
      <name val="Arial"/>
      <family val="2"/>
    </font>
    <font>
      <b/>
      <sz val="10"/>
      <color indexed="81"/>
      <name val="Tahoma"/>
      <family val="2"/>
    </font>
    <font>
      <sz val="10"/>
      <color indexed="8"/>
      <name val="Arial"/>
      <family val="2"/>
    </font>
    <font>
      <b/>
      <sz val="10"/>
      <color indexed="12"/>
      <name val="Arial"/>
      <family val="2"/>
    </font>
    <font>
      <sz val="10"/>
      <color indexed="10"/>
      <name val="Arial"/>
      <family val="2"/>
    </font>
    <font>
      <sz val="10"/>
      <color indexed="12"/>
      <name val="Arial"/>
      <family val="2"/>
    </font>
    <font>
      <sz val="10"/>
      <color indexed="81"/>
      <name val="Tahoma"/>
      <family val="2"/>
    </font>
    <font>
      <sz val="10"/>
      <color indexed="16"/>
      <name val="Arial"/>
      <family val="2"/>
    </font>
    <font>
      <b/>
      <sz val="9"/>
      <color indexed="12"/>
      <name val="Arial"/>
      <family val="2"/>
    </font>
    <font>
      <sz val="9"/>
      <color indexed="12"/>
      <name val="Arial"/>
      <family val="2"/>
    </font>
    <font>
      <sz val="10"/>
      <name val="Helv"/>
    </font>
    <font>
      <sz val="10"/>
      <name val="Arial"/>
      <family val="2"/>
    </font>
    <font>
      <b/>
      <sz val="10"/>
      <color indexed="8"/>
      <name val="Arial"/>
      <family val="2"/>
    </font>
    <font>
      <b/>
      <sz val="10"/>
      <color rgb="FFC00000"/>
      <name val="ARIAL"/>
      <family val="2"/>
    </font>
    <font>
      <sz val="10"/>
      <color rgb="FFC00000"/>
      <name val="Arial"/>
      <family val="2"/>
    </font>
    <font>
      <sz val="10"/>
      <color indexed="17"/>
      <name val="Arial"/>
      <family val="2"/>
    </font>
    <font>
      <sz val="10"/>
      <color rgb="FF0000FF"/>
      <name val="Arial"/>
      <family val="2"/>
    </font>
    <font>
      <b/>
      <sz val="14"/>
      <color rgb="FFC00000"/>
      <name val="Arial"/>
      <family val="2"/>
    </font>
    <font>
      <sz val="10"/>
      <name val="Calibri"/>
      <family val="2"/>
    </font>
    <font>
      <sz val="10"/>
      <color theme="0"/>
      <name val="Arial"/>
      <family val="2"/>
    </font>
    <font>
      <b/>
      <sz val="10"/>
      <color theme="0"/>
      <name val="Arial"/>
      <family val="2"/>
    </font>
    <font>
      <b/>
      <sz val="10"/>
      <color rgb="FF0000FF"/>
      <name val="Arial"/>
      <family val="2"/>
    </font>
    <font>
      <b/>
      <sz val="12"/>
      <color rgb="FF0000FF"/>
      <name val="Arial"/>
      <family val="2"/>
    </font>
    <font>
      <b/>
      <sz val="14"/>
      <color theme="0"/>
      <name val="Arial"/>
      <family val="2"/>
    </font>
    <font>
      <b/>
      <sz val="8"/>
      <name val="Times New Roman"/>
      <family val="1"/>
    </font>
    <font>
      <b/>
      <sz val="8"/>
      <color rgb="FFC00000"/>
      <name val="Times New Roman"/>
      <family val="1"/>
    </font>
    <font>
      <b/>
      <sz val="9"/>
      <color indexed="81"/>
      <name val="Tahoma"/>
      <family val="2"/>
    </font>
    <font>
      <sz val="9"/>
      <color indexed="81"/>
      <name val="Tahoma"/>
      <family val="2"/>
    </font>
    <font>
      <sz val="8"/>
      <name val="Times New Roman"/>
      <family val="1"/>
    </font>
    <font>
      <b/>
      <sz val="10"/>
      <name val="Arial, Albany AMT, Helvetica"/>
    </font>
    <font>
      <b/>
      <sz val="8"/>
      <color rgb="FFFF0000"/>
      <name val="Times New Roman"/>
      <family val="1"/>
    </font>
    <font>
      <b/>
      <sz val="10"/>
      <color rgb="FFFF0000"/>
      <name val="Arial"/>
      <family val="2"/>
    </font>
    <font>
      <sz val="10"/>
      <color theme="1"/>
      <name val="Arial"/>
      <family val="2"/>
    </font>
    <font>
      <sz val="11"/>
      <color indexed="8"/>
      <name val="Calibri"/>
      <family val="2"/>
    </font>
    <font>
      <sz val="10"/>
      <name val="Courier"/>
      <family val="3"/>
    </font>
    <font>
      <sz val="12"/>
      <name val="AGaramond"/>
      <family val="1"/>
    </font>
    <font>
      <sz val="10"/>
      <color rgb="FF000000"/>
      <name val="Times New Roman"/>
      <family val="1"/>
    </font>
    <font>
      <sz val="10"/>
      <color rgb="FF000000"/>
      <name val="Times New Roman"/>
      <family val="1"/>
    </font>
    <font>
      <sz val="8"/>
      <color rgb="FFFF0000"/>
      <name val="Arial"/>
      <family val="2"/>
    </font>
    <font>
      <sz val="8"/>
      <color theme="1"/>
      <name val="Arial"/>
      <family val="2"/>
    </font>
  </fonts>
  <fills count="42">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7"/>
        <bgColor indexed="42"/>
      </patternFill>
    </fill>
    <fill>
      <patternFill patternType="solid">
        <fgColor indexed="1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B2A1C7"/>
        <bgColor indexed="64"/>
      </patternFill>
    </fill>
    <fill>
      <patternFill patternType="solid">
        <fgColor theme="0"/>
        <bgColor indexed="64"/>
      </patternFill>
    </fill>
    <fill>
      <patternFill patternType="solid">
        <fgColor rgb="FFC00000"/>
        <bgColor indexed="64"/>
      </patternFill>
    </fill>
    <fill>
      <patternFill patternType="solid">
        <fgColor indexed="45"/>
        <bgColor indexed="64"/>
      </patternFill>
    </fill>
    <fill>
      <patternFill patternType="solid">
        <fgColor rgb="FFFFFF00"/>
        <bgColor indexed="64"/>
      </patternFill>
    </fill>
    <fill>
      <patternFill patternType="solid">
        <fgColor indexed="43"/>
        <bgColor indexed="64"/>
      </patternFill>
    </fill>
    <fill>
      <patternFill patternType="solid">
        <fgColor indexed="44"/>
        <bgColor indexed="64"/>
      </patternFill>
    </fill>
    <fill>
      <patternFill patternType="solid">
        <fgColor indexed="44"/>
        <bgColor indexed="42"/>
      </patternFill>
    </fill>
    <fill>
      <patternFill patternType="solid">
        <fgColor rgb="FFFF99CC"/>
        <bgColor indexed="64"/>
      </patternFill>
    </fill>
    <fill>
      <patternFill patternType="solid">
        <fgColor indexed="51"/>
        <bgColor indexed="64"/>
      </patternFill>
    </fill>
    <fill>
      <patternFill patternType="solid">
        <fgColor indexed="51"/>
        <bgColor indexed="42"/>
      </patternFill>
    </fill>
    <fill>
      <patternFill patternType="solid">
        <fgColor rgb="FFFFCC00"/>
        <bgColor indexed="64"/>
      </patternFill>
    </fill>
    <fill>
      <patternFill patternType="solid">
        <fgColor indexed="46"/>
        <bgColor indexed="64"/>
      </patternFill>
    </fill>
    <fill>
      <patternFill patternType="solid">
        <fgColor theme="9" tint="0.79998168889431442"/>
        <bgColor indexed="64"/>
      </patternFill>
    </fill>
    <fill>
      <patternFill patternType="solid">
        <fgColor indexed="42"/>
        <bgColor indexed="42"/>
      </patternFill>
    </fill>
    <fill>
      <patternFill patternType="solid">
        <fgColor indexed="22"/>
        <bgColor indexed="64"/>
      </patternFill>
    </fill>
    <fill>
      <patternFill patternType="solid">
        <fgColor indexed="50"/>
        <bgColor indexed="64"/>
      </patternFill>
    </fill>
    <fill>
      <patternFill patternType="solid">
        <fgColor indexed="49"/>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indexed="15"/>
        <bgColor indexed="64"/>
      </patternFill>
    </fill>
    <fill>
      <patternFill patternType="solid">
        <fgColor rgb="FF00FFFF"/>
        <bgColor indexed="64"/>
      </patternFill>
    </fill>
    <fill>
      <patternFill patternType="solid">
        <fgColor indexed="15"/>
        <bgColor indexed="42"/>
      </patternFill>
    </fill>
    <fill>
      <patternFill patternType="solid">
        <fgColor indexed="43"/>
        <bgColor indexed="42"/>
      </patternFill>
    </fill>
    <fill>
      <patternFill patternType="solid">
        <fgColor indexed="45"/>
        <bgColor indexed="42"/>
      </patternFill>
    </fill>
    <fill>
      <patternFill patternType="solid">
        <fgColor rgb="FF92D050"/>
        <bgColor indexed="64"/>
      </patternFill>
    </fill>
    <fill>
      <patternFill patternType="solid">
        <fgColor rgb="FFFFFFCC"/>
        <bgColor indexed="64"/>
      </patternFill>
    </fill>
    <fill>
      <patternFill patternType="solid">
        <fgColor rgb="FFFFC000"/>
        <bgColor indexed="64"/>
      </patternFill>
    </fill>
    <fill>
      <patternFill patternType="solid">
        <fgColor rgb="FF00FFFF"/>
        <bgColor indexed="42"/>
      </patternFill>
    </fill>
    <fill>
      <patternFill patternType="solid">
        <fgColor rgb="FFCCFFCC"/>
        <bgColor indexed="64"/>
      </patternFill>
    </fill>
  </fills>
  <borders count="74">
    <border>
      <left/>
      <right/>
      <top/>
      <bottom/>
      <diagonal/>
    </border>
    <border>
      <left style="medium">
        <color indexed="64"/>
      </left>
      <right style="medium">
        <color indexed="64"/>
      </right>
      <top/>
      <bottom/>
      <diagonal/>
    </border>
    <border>
      <left style="thin">
        <color indexed="8"/>
      </left>
      <right/>
      <top style="thin">
        <color indexed="65"/>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8"/>
      </left>
      <right/>
      <top/>
      <bottom/>
      <diagonal/>
    </border>
    <border>
      <left style="thin">
        <color indexed="8"/>
      </left>
      <right/>
      <top/>
      <bottom style="thin">
        <color indexed="64"/>
      </bottom>
      <diagonal/>
    </border>
    <border>
      <left/>
      <right style="thin">
        <color indexed="8"/>
      </right>
      <top/>
      <bottom/>
      <diagonal/>
    </border>
    <border>
      <left/>
      <right style="thin">
        <color indexed="8"/>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8"/>
      </top>
      <bottom style="thin">
        <color indexed="64"/>
      </bottom>
      <diagonal/>
    </border>
    <border>
      <left style="thin">
        <color indexed="8"/>
      </left>
      <right/>
      <top style="thin">
        <color indexed="8"/>
      </top>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right style="thin">
        <color indexed="64"/>
      </right>
      <top style="thin">
        <color indexed="64"/>
      </top>
      <bottom/>
      <diagonal/>
    </border>
    <border>
      <left style="thin">
        <color indexed="64"/>
      </left>
      <right/>
      <top style="thin">
        <color indexed="8"/>
      </top>
      <bottom/>
      <diagonal/>
    </border>
    <border>
      <left style="thin">
        <color indexed="64"/>
      </left>
      <right/>
      <top style="thin">
        <color indexed="8"/>
      </top>
      <bottom style="thin">
        <color indexed="8"/>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style="double">
        <color indexed="64"/>
      </left>
      <right/>
      <top/>
      <bottom/>
      <diagonal/>
    </border>
    <border>
      <left style="thin">
        <color indexed="64"/>
      </left>
      <right/>
      <top style="thin">
        <color indexed="8"/>
      </top>
      <bottom style="thin">
        <color indexed="64"/>
      </bottom>
      <diagonal/>
    </border>
    <border>
      <left style="thin">
        <color indexed="65"/>
      </left>
      <right/>
      <top style="thin">
        <color indexed="65"/>
      </top>
      <bottom/>
      <diagonal/>
    </border>
    <border>
      <left style="thin">
        <color indexed="8"/>
      </left>
      <right style="thin">
        <color indexed="8"/>
      </right>
      <top style="thin">
        <color indexed="65"/>
      </top>
      <bottom/>
      <diagonal/>
    </border>
    <border>
      <left style="thin">
        <color indexed="8"/>
      </left>
      <right style="thin">
        <color indexed="8"/>
      </right>
      <top/>
      <bottom/>
      <diagonal/>
    </border>
    <border>
      <left style="thin">
        <color indexed="8"/>
      </left>
      <right/>
      <top style="thin">
        <color indexed="65"/>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8"/>
      </bottom>
      <diagonal/>
    </border>
    <border>
      <left style="thin">
        <color indexed="64"/>
      </left>
      <right style="thin">
        <color indexed="64"/>
      </right>
      <top/>
      <bottom/>
      <diagonal/>
    </border>
    <border>
      <left style="thin">
        <color indexed="8"/>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style="thin">
        <color indexed="8"/>
      </left>
      <right style="thin">
        <color indexed="8"/>
      </right>
      <top style="thin">
        <color indexed="64"/>
      </top>
      <bottom/>
      <diagonal/>
    </border>
    <border>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thin">
        <color indexed="64"/>
      </right>
      <top/>
      <bottom/>
      <diagonal/>
    </border>
    <border>
      <left/>
      <right style="medium">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thin">
        <color indexed="8"/>
      </left>
      <right style="thin">
        <color indexed="64"/>
      </right>
      <top/>
      <bottom/>
      <diagonal/>
    </border>
    <border>
      <left style="thin">
        <color indexed="64"/>
      </left>
      <right/>
      <top style="thin">
        <color auto="1"/>
      </top>
      <bottom/>
      <diagonal/>
    </border>
    <border>
      <left/>
      <right style="thin">
        <color indexed="64"/>
      </right>
      <top style="thin">
        <color indexed="64"/>
      </top>
      <bottom/>
      <diagonal/>
    </border>
    <border>
      <left/>
      <right/>
      <top style="thin">
        <color indexed="64"/>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8"/>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s>
  <cellStyleXfs count="627">
    <xf numFmtId="3" fontId="0" fillId="0" borderId="0"/>
    <xf numFmtId="43" fontId="10" fillId="0" borderId="0" applyFont="0" applyFill="0" applyBorder="0" applyAlignment="0" applyProtection="0"/>
    <xf numFmtId="167" fontId="32" fillId="0" borderId="0"/>
    <xf numFmtId="167" fontId="32" fillId="0" borderId="0"/>
    <xf numFmtId="3" fontId="11" fillId="0" borderId="0"/>
    <xf numFmtId="3" fontId="11" fillId="0" borderId="0"/>
    <xf numFmtId="3" fontId="11" fillId="0" borderId="0"/>
    <xf numFmtId="9" fontId="10" fillId="0" borderId="0" applyFont="0" applyFill="0" applyBorder="0" applyAlignment="0" applyProtection="0"/>
    <xf numFmtId="3" fontId="13" fillId="0" borderId="1" applyFont="0"/>
    <xf numFmtId="164" fontId="21" fillId="0" borderId="2" applyNumberFormat="0" applyFont="0" applyBorder="0" applyAlignment="0"/>
    <xf numFmtId="164"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0" fillId="0" borderId="0" applyFont="0" applyFill="0" applyBorder="0" applyAlignment="0" applyProtection="0"/>
    <xf numFmtId="164" fontId="10" fillId="0" borderId="0"/>
    <xf numFmtId="43" fontId="9" fillId="0" borderId="0" applyFont="0" applyFill="0" applyBorder="0" applyAlignment="0" applyProtection="0"/>
    <xf numFmtId="0" fontId="13" fillId="0" borderId="0"/>
    <xf numFmtId="164" fontId="10" fillId="0" borderId="0"/>
    <xf numFmtId="0" fontId="13" fillId="0" borderId="0"/>
    <xf numFmtId="0" fontId="13" fillId="0" borderId="0"/>
    <xf numFmtId="164" fontId="9" fillId="0" borderId="0"/>
    <xf numFmtId="164" fontId="9" fillId="0" borderId="0"/>
    <xf numFmtId="164" fontId="10" fillId="0" borderId="0"/>
    <xf numFmtId="164" fontId="9" fillId="0" borderId="0"/>
    <xf numFmtId="3" fontId="11" fillId="0" borderId="0"/>
    <xf numFmtId="0" fontId="54" fillId="0" borderId="0"/>
    <xf numFmtId="9" fontId="54" fillId="0" borderId="0" applyFont="0" applyFill="0" applyBorder="0" applyAlignment="0" applyProtection="0"/>
    <xf numFmtId="9" fontId="10" fillId="0" borderId="0" applyFont="0" applyFill="0" applyBorder="0" applyAlignment="0" applyProtection="0"/>
    <xf numFmtId="164" fontId="10" fillId="0" borderId="0"/>
    <xf numFmtId="0" fontId="7" fillId="0" borderId="0"/>
    <xf numFmtId="0" fontId="54" fillId="0" borderId="0"/>
    <xf numFmtId="9" fontId="54" fillId="0" borderId="0" applyFont="0" applyFill="0" applyBorder="0" applyAlignment="0" applyProtection="0"/>
    <xf numFmtId="43" fontId="54" fillId="0" borderId="0" applyFont="0" applyFill="0" applyBorder="0" applyAlignment="0" applyProtection="0"/>
    <xf numFmtId="0" fontId="55" fillId="0" borderId="0"/>
    <xf numFmtId="0" fontId="55" fillId="0" borderId="0"/>
    <xf numFmtId="0" fontId="55" fillId="0" borderId="0"/>
    <xf numFmtId="0" fontId="55" fillId="0" borderId="0"/>
    <xf numFmtId="0" fontId="24" fillId="0" borderId="0"/>
    <xf numFmtId="0" fontId="24" fillId="0" borderId="0">
      <alignment vertical="top"/>
    </xf>
    <xf numFmtId="0" fontId="13" fillId="0" borderId="0"/>
    <xf numFmtId="0" fontId="13" fillId="0" borderId="0"/>
    <xf numFmtId="0" fontId="7" fillId="0" borderId="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56" fillId="0" borderId="0">
      <alignment horizontal="left" wrapText="1"/>
    </xf>
    <xf numFmtId="0" fontId="54" fillId="0" borderId="0"/>
    <xf numFmtId="0" fontId="15"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57" fillId="0" borderId="0"/>
    <xf numFmtId="164" fontId="57" fillId="0" borderId="0"/>
    <xf numFmtId="164" fontId="9" fillId="0" borderId="0"/>
    <xf numFmtId="9" fontId="9" fillId="0" borderId="0" applyFont="0" applyFill="0" applyBorder="0" applyAlignment="0" applyProtection="0"/>
    <xf numFmtId="43" fontId="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57" fillId="0" borderId="0"/>
    <xf numFmtId="0" fontId="6" fillId="0" borderId="0"/>
    <xf numFmtId="0" fontId="6" fillId="0" borderId="0"/>
    <xf numFmtId="0" fontId="6" fillId="0" borderId="0"/>
    <xf numFmtId="164" fontId="9" fillId="0" borderId="0"/>
    <xf numFmtId="3" fontId="13" fillId="0" borderId="1" applyFont="0"/>
    <xf numFmtId="0" fontId="13" fillId="0" borderId="0"/>
    <xf numFmtId="0" fontId="13" fillId="0" borderId="0"/>
    <xf numFmtId="0" fontId="13" fillId="0" borderId="0"/>
    <xf numFmtId="0" fontId="13" fillId="0" borderId="0"/>
    <xf numFmtId="0" fontId="13" fillId="0" borderId="0"/>
    <xf numFmtId="43" fontId="10" fillId="0" borderId="0" applyFont="0" applyFill="0" applyBorder="0" applyAlignment="0" applyProtection="0"/>
    <xf numFmtId="0" fontId="6" fillId="0" borderId="0"/>
    <xf numFmtId="164" fontId="9" fillId="0" borderId="0"/>
    <xf numFmtId="0" fontId="6" fillId="0" borderId="0"/>
    <xf numFmtId="0" fontId="6" fillId="0" borderId="0"/>
    <xf numFmtId="0" fontId="6" fillId="0" borderId="0"/>
    <xf numFmtId="0" fontId="54" fillId="0" borderId="0"/>
    <xf numFmtId="9" fontId="54"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3" fontId="11" fillId="0" borderId="0"/>
    <xf numFmtId="43" fontId="10" fillId="0" borderId="0" applyFont="0" applyFill="0" applyBorder="0" applyAlignment="0" applyProtection="0"/>
    <xf numFmtId="167" fontId="32" fillId="0" borderId="0"/>
    <xf numFmtId="0" fontId="54" fillId="0" borderId="0"/>
    <xf numFmtId="9" fontId="54" fillId="0" borderId="0" applyFont="0" applyFill="0" applyBorder="0" applyAlignment="0" applyProtection="0"/>
    <xf numFmtId="0" fontId="13"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164" fontId="57" fillId="0" borderId="0"/>
    <xf numFmtId="164" fontId="57" fillId="0" borderId="0"/>
    <xf numFmtId="164" fontId="57"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167" fontId="32" fillId="0" borderId="0"/>
    <xf numFmtId="0" fontId="13" fillId="0" borderId="0"/>
    <xf numFmtId="0" fontId="13" fillId="0" borderId="0"/>
    <xf numFmtId="0" fontId="13" fillId="0" borderId="0"/>
    <xf numFmtId="0" fontId="13"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64" fontId="57" fillId="0" borderId="0"/>
    <xf numFmtId="164" fontId="57"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7" fontId="32" fillId="0" borderId="0"/>
    <xf numFmtId="164" fontId="57"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67" fontId="32" fillId="0" borderId="0"/>
    <xf numFmtId="0" fontId="3" fillId="0" borderId="0"/>
    <xf numFmtId="0" fontId="3" fillId="0" borderId="0"/>
    <xf numFmtId="0" fontId="3" fillId="0" borderId="0"/>
    <xf numFmtId="9" fontId="9" fillId="0" borderId="0" applyFont="0" applyFill="0" applyBorder="0" applyAlignment="0" applyProtection="0"/>
    <xf numFmtId="0" fontId="3" fillId="0" borderId="0"/>
    <xf numFmtId="0" fontId="1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58" fillId="0" borderId="0"/>
    <xf numFmtId="0" fontId="2" fillId="0" borderId="0"/>
    <xf numFmtId="0" fontId="59" fillId="0" borderId="0"/>
    <xf numFmtId="0" fontId="2" fillId="0" borderId="0"/>
    <xf numFmtId="0" fontId="58" fillId="0" borderId="0"/>
    <xf numFmtId="0" fontId="2" fillId="0" borderId="0"/>
    <xf numFmtId="0" fontId="2" fillId="0" borderId="0"/>
    <xf numFmtId="164" fontId="57" fillId="0" borderId="0"/>
    <xf numFmtId="164" fontId="57"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28">
    <xf numFmtId="3" fontId="0" fillId="0" borderId="0" xfId="0"/>
    <xf numFmtId="3" fontId="13" fillId="0" borderId="0" xfId="0" applyFont="1"/>
    <xf numFmtId="3" fontId="13" fillId="0" borderId="0" xfId="0" applyNumberFormat="1" applyFont="1"/>
    <xf numFmtId="3" fontId="13" fillId="0" borderId="3" xfId="0" applyFont="1" applyBorder="1"/>
    <xf numFmtId="3" fontId="13" fillId="0" borderId="0" xfId="0" applyFont="1" applyFill="1"/>
    <xf numFmtId="37" fontId="13" fillId="0" borderId="0" xfId="0" applyNumberFormat="1" applyFont="1" applyAlignment="1">
      <alignment horizontal="right"/>
    </xf>
    <xf numFmtId="37" fontId="13" fillId="0" borderId="3" xfId="0" applyNumberFormat="1" applyFont="1" applyBorder="1" applyAlignment="1">
      <alignment horizontal="right"/>
    </xf>
    <xf numFmtId="3" fontId="13" fillId="0" borderId="0" xfId="0" applyNumberFormat="1" applyFont="1" applyAlignment="1">
      <alignment horizontal="right"/>
    </xf>
    <xf numFmtId="3" fontId="13" fillId="0" borderId="4" xfId="0" applyNumberFormat="1" applyFont="1" applyBorder="1" applyAlignment="1">
      <alignment horizontal="right"/>
    </xf>
    <xf numFmtId="3" fontId="13" fillId="0" borderId="3" xfId="0" applyNumberFormat="1" applyFont="1" applyBorder="1" applyAlignment="1">
      <alignment horizontal="right"/>
    </xf>
    <xf numFmtId="3" fontId="13" fillId="0" borderId="5" xfId="0" applyNumberFormat="1" applyFont="1" applyBorder="1" applyAlignment="1">
      <alignment horizontal="right"/>
    </xf>
    <xf numFmtId="3" fontId="13" fillId="0" borderId="0" xfId="1" applyNumberFormat="1" applyFont="1" applyAlignment="1">
      <alignment horizontal="right"/>
    </xf>
    <xf numFmtId="3" fontId="13" fillId="0" borderId="4" xfId="1" applyNumberFormat="1" applyFont="1" applyBorder="1" applyAlignment="1">
      <alignment horizontal="right"/>
    </xf>
    <xf numFmtId="3" fontId="13" fillId="0" borderId="3" xfId="1" applyNumberFormat="1" applyFont="1" applyBorder="1" applyAlignment="1">
      <alignment horizontal="right"/>
    </xf>
    <xf numFmtId="3" fontId="13" fillId="0" borderId="5" xfId="1" applyNumberFormat="1" applyFont="1" applyBorder="1" applyAlignment="1">
      <alignment horizontal="right"/>
    </xf>
    <xf numFmtId="37" fontId="13" fillId="0" borderId="0" xfId="0" applyNumberFormat="1" applyFont="1" applyBorder="1" applyAlignment="1">
      <alignment horizontal="right"/>
    </xf>
    <xf numFmtId="37" fontId="13" fillId="0" borderId="6" xfId="0" applyNumberFormat="1" applyFont="1" applyBorder="1" applyAlignment="1">
      <alignment horizontal="right"/>
    </xf>
    <xf numFmtId="3" fontId="15" fillId="0" borderId="0" xfId="0" applyFont="1" applyAlignment="1">
      <alignment horizontal="centerContinuous"/>
    </xf>
    <xf numFmtId="37" fontId="13" fillId="0" borderId="7" xfId="0" applyNumberFormat="1" applyFont="1" applyBorder="1" applyAlignment="1">
      <alignment horizontal="right"/>
    </xf>
    <xf numFmtId="37" fontId="13" fillId="0" borderId="8" xfId="0" applyNumberFormat="1" applyFont="1" applyBorder="1" applyAlignment="1">
      <alignment horizontal="right"/>
    </xf>
    <xf numFmtId="3" fontId="14" fillId="0" borderId="0" xfId="0" applyFont="1" applyAlignment="1">
      <alignment horizontal="centerContinuous"/>
    </xf>
    <xf numFmtId="3" fontId="16" fillId="0" borderId="0" xfId="0" applyFont="1" applyAlignment="1">
      <alignment horizontal="centerContinuous"/>
    </xf>
    <xf numFmtId="3" fontId="13" fillId="0" borderId="0" xfId="0" applyFont="1" applyAlignment="1">
      <alignment horizontal="centerContinuous"/>
    </xf>
    <xf numFmtId="37" fontId="13" fillId="0" borderId="9" xfId="0" applyNumberFormat="1" applyFont="1" applyBorder="1" applyAlignment="1">
      <alignment horizontal="right"/>
    </xf>
    <xf numFmtId="37" fontId="13" fillId="0" borderId="10" xfId="0" applyNumberFormat="1" applyFont="1" applyBorder="1" applyAlignment="1">
      <alignment horizontal="right"/>
    </xf>
    <xf numFmtId="3" fontId="13" fillId="0" borderId="0" xfId="0" applyFont="1" applyBorder="1"/>
    <xf numFmtId="3" fontId="13" fillId="0" borderId="0" xfId="0" applyNumberFormat="1" applyFont="1" applyBorder="1"/>
    <xf numFmtId="3" fontId="12" fillId="0" borderId="11" xfId="0" applyFont="1" applyBorder="1" applyAlignment="1">
      <alignment horizontal="centerContinuous"/>
    </xf>
    <xf numFmtId="3" fontId="12" fillId="0" borderId="12" xfId="0" applyFont="1" applyBorder="1" applyAlignment="1">
      <alignment horizontal="centerContinuous"/>
    </xf>
    <xf numFmtId="3" fontId="12" fillId="0" borderId="13" xfId="0" applyFont="1" applyBorder="1" applyAlignment="1">
      <alignment horizontal="centerContinuous"/>
    </xf>
    <xf numFmtId="3" fontId="13" fillId="0" borderId="11" xfId="0" applyFont="1" applyBorder="1" applyAlignment="1">
      <alignment horizontal="centerContinuous"/>
    </xf>
    <xf numFmtId="3" fontId="13" fillId="0" borderId="7" xfId="0" applyFont="1" applyBorder="1"/>
    <xf numFmtId="3" fontId="13" fillId="0" borderId="0" xfId="0" applyNumberFormat="1" applyFont="1" applyBorder="1" applyAlignment="1">
      <alignment horizontal="right"/>
    </xf>
    <xf numFmtId="3" fontId="13" fillId="0" borderId="0" xfId="1" applyNumberFormat="1" applyFont="1" applyBorder="1" applyAlignment="1">
      <alignment horizontal="right"/>
    </xf>
    <xf numFmtId="3" fontId="14" fillId="0" borderId="0" xfId="0" applyFont="1" applyBorder="1" applyAlignment="1">
      <alignment horizontal="centerContinuous"/>
    </xf>
    <xf numFmtId="3" fontId="16" fillId="0" borderId="0" xfId="0" applyFont="1" applyBorder="1" applyAlignment="1">
      <alignment horizontal="centerContinuous"/>
    </xf>
    <xf numFmtId="3" fontId="13" fillId="0" borderId="14" xfId="0" applyFont="1" applyBorder="1"/>
    <xf numFmtId="3" fontId="13" fillId="0" borderId="15" xfId="0" applyFont="1" applyBorder="1"/>
    <xf numFmtId="3" fontId="13" fillId="0" borderId="16" xfId="0" applyFont="1" applyBorder="1"/>
    <xf numFmtId="37" fontId="13" fillId="0" borderId="0" xfId="0" applyNumberFormat="1" applyFont="1" applyBorder="1" applyAlignment="1">
      <alignment horizontal="center"/>
    </xf>
    <xf numFmtId="37" fontId="13" fillId="0" borderId="3" xfId="0" applyNumberFormat="1" applyFont="1" applyBorder="1" applyAlignment="1">
      <alignment horizontal="center"/>
    </xf>
    <xf numFmtId="37" fontId="20" fillId="0" borderId="0" xfId="0" applyNumberFormat="1" applyFont="1" applyAlignment="1" applyProtection="1">
      <alignment horizontal="centerContinuous"/>
    </xf>
    <xf numFmtId="37" fontId="13" fillId="0" borderId="0" xfId="0" quotePrefix="1" applyNumberFormat="1" applyFont="1" applyBorder="1" applyAlignment="1">
      <alignment horizontal="left"/>
    </xf>
    <xf numFmtId="37" fontId="16" fillId="0" borderId="0" xfId="0" applyNumberFormat="1" applyFont="1" applyAlignment="1" applyProtection="1">
      <alignment horizontal="centerContinuous"/>
    </xf>
    <xf numFmtId="37" fontId="21" fillId="0" borderId="13" xfId="0" applyNumberFormat="1" applyFont="1" applyBorder="1" applyProtection="1"/>
    <xf numFmtId="37" fontId="21" fillId="0" borderId="17" xfId="0" applyNumberFormat="1" applyFont="1" applyBorder="1" applyAlignment="1" applyProtection="1">
      <alignment horizontal="center"/>
    </xf>
    <xf numFmtId="37" fontId="22" fillId="0" borderId="17" xfId="0" applyNumberFormat="1" applyFont="1" applyBorder="1" applyAlignment="1" applyProtection="1">
      <alignment horizontal="right"/>
    </xf>
    <xf numFmtId="37" fontId="22" fillId="0" borderId="11" xfId="0" applyNumberFormat="1" applyFont="1" applyBorder="1" applyAlignment="1" applyProtection="1">
      <alignment horizontal="right"/>
    </xf>
    <xf numFmtId="3" fontId="17" fillId="0" borderId="0" xfId="0" applyFont="1"/>
    <xf numFmtId="37" fontId="17" fillId="0" borderId="0" xfId="0" applyNumberFormat="1" applyFont="1" applyAlignment="1" applyProtection="1">
      <alignment horizontal="left"/>
    </xf>
    <xf numFmtId="3" fontId="17" fillId="0" borderId="0" xfId="0" applyNumberFormat="1" applyFont="1"/>
    <xf numFmtId="39" fontId="16" fillId="0" borderId="0" xfId="0" applyNumberFormat="1" applyFont="1" applyAlignment="1" applyProtection="1">
      <alignment horizontal="centerContinuous"/>
    </xf>
    <xf numFmtId="37" fontId="22" fillId="0" borderId="11" xfId="0" applyNumberFormat="1" applyFont="1" applyBorder="1" applyAlignment="1" applyProtection="1">
      <alignment horizontal="centerContinuous"/>
    </xf>
    <xf numFmtId="37" fontId="22" fillId="0" borderId="17" xfId="0" applyNumberFormat="1" applyFont="1" applyBorder="1" applyAlignment="1" applyProtection="1">
      <alignment horizontal="center"/>
    </xf>
    <xf numFmtId="37" fontId="22" fillId="0" borderId="10" xfId="0" applyNumberFormat="1" applyFont="1" applyBorder="1" applyAlignment="1" applyProtection="1">
      <alignment horizontal="right"/>
    </xf>
    <xf numFmtId="37" fontId="15" fillId="0" borderId="0" xfId="0" applyNumberFormat="1" applyFont="1" applyAlignment="1" applyProtection="1">
      <alignment horizontal="centerContinuous"/>
    </xf>
    <xf numFmtId="37" fontId="22" fillId="0" borderId="13" xfId="0" applyNumberFormat="1" applyFont="1" applyBorder="1" applyAlignment="1" applyProtection="1">
      <alignment horizontal="centerContinuous"/>
    </xf>
    <xf numFmtId="37" fontId="22" fillId="0" borderId="18" xfId="0" applyNumberFormat="1" applyFont="1" applyBorder="1" applyAlignment="1" applyProtection="1">
      <alignment horizontal="centerContinuous"/>
    </xf>
    <xf numFmtId="37" fontId="22" fillId="0" borderId="17" xfId="0" applyNumberFormat="1" applyFont="1" applyBorder="1" applyAlignment="1" applyProtection="1">
      <alignment horizontal="center" wrapText="1"/>
    </xf>
    <xf numFmtId="37" fontId="22" fillId="0" borderId="19" xfId="0" applyNumberFormat="1" applyFont="1" applyBorder="1" applyAlignment="1" applyProtection="1">
      <alignment horizontal="right"/>
    </xf>
    <xf numFmtId="37" fontId="22" fillId="0" borderId="20" xfId="0" applyNumberFormat="1" applyFont="1" applyBorder="1" applyAlignment="1" applyProtection="1">
      <alignment horizontal="center" wrapText="1"/>
    </xf>
    <xf numFmtId="37" fontId="21" fillId="0" borderId="13" xfId="0" applyNumberFormat="1" applyFont="1" applyBorder="1" applyAlignment="1" applyProtection="1">
      <alignment horizontal="centerContinuous"/>
    </xf>
    <xf numFmtId="37" fontId="16" fillId="0" borderId="0" xfId="0" applyNumberFormat="1" applyFont="1" applyBorder="1" applyAlignment="1" applyProtection="1">
      <alignment horizontal="centerContinuous"/>
    </xf>
    <xf numFmtId="37" fontId="21" fillId="0" borderId="17" xfId="0" applyNumberFormat="1" applyFont="1" applyBorder="1" applyProtection="1"/>
    <xf numFmtId="37" fontId="22" fillId="0" borderId="14" xfId="0" applyNumberFormat="1" applyFont="1" applyBorder="1" applyAlignment="1" applyProtection="1">
      <alignment horizontal="centerContinuous"/>
    </xf>
    <xf numFmtId="37" fontId="22" fillId="0" borderId="14" xfId="0" applyNumberFormat="1" applyFont="1" applyBorder="1" applyAlignment="1" applyProtection="1">
      <alignment horizontal="centerContinuous" wrapText="1"/>
    </xf>
    <xf numFmtId="37" fontId="22" fillId="0" borderId="21" xfId="0" applyNumberFormat="1" applyFont="1" applyBorder="1" applyAlignment="1" applyProtection="1">
      <alignment horizontal="centerContinuous"/>
    </xf>
    <xf numFmtId="37" fontId="13" fillId="0" borderId="0" xfId="0" quotePrefix="1" applyNumberFormat="1" applyFont="1" applyBorder="1" applyAlignment="1">
      <alignment horizontal="right"/>
    </xf>
    <xf numFmtId="3" fontId="13" fillId="2" borderId="0" xfId="0" applyFont="1" applyFill="1"/>
    <xf numFmtId="37" fontId="22" fillId="2" borderId="14" xfId="0" applyNumberFormat="1" applyFont="1" applyFill="1" applyBorder="1" applyAlignment="1" applyProtection="1">
      <alignment horizontal="centerContinuous"/>
    </xf>
    <xf numFmtId="37" fontId="22" fillId="2" borderId="14" xfId="0" applyNumberFormat="1" applyFont="1" applyFill="1" applyBorder="1" applyAlignment="1" applyProtection="1">
      <alignment horizontal="centerContinuous" wrapText="1"/>
    </xf>
    <xf numFmtId="168" fontId="13" fillId="2" borderId="0" xfId="7" applyNumberFormat="1" applyFont="1" applyFill="1"/>
    <xf numFmtId="3" fontId="13" fillId="0" borderId="0" xfId="6" applyFont="1" applyFill="1" applyBorder="1" applyAlignment="1">
      <alignment horizontal="center"/>
    </xf>
    <xf numFmtId="3" fontId="13" fillId="0" borderId="0" xfId="0" applyFont="1" applyFill="1" applyBorder="1"/>
    <xf numFmtId="37" fontId="22" fillId="0" borderId="0" xfId="0" applyNumberFormat="1" applyFont="1" applyBorder="1" applyAlignment="1" applyProtection="1">
      <alignment horizontal="centerContinuous" wrapText="1"/>
    </xf>
    <xf numFmtId="3" fontId="13" fillId="0" borderId="0" xfId="0" applyFont="1" applyAlignment="1">
      <alignment vertical="center"/>
    </xf>
    <xf numFmtId="3" fontId="13" fillId="0" borderId="6" xfId="0" applyFont="1" applyBorder="1"/>
    <xf numFmtId="39" fontId="15" fillId="0" borderId="0" xfId="0" applyNumberFormat="1" applyFont="1" applyAlignment="1" applyProtection="1">
      <alignment horizontal="left"/>
    </xf>
    <xf numFmtId="3" fontId="13" fillId="2" borderId="4" xfId="0" applyFont="1" applyFill="1" applyBorder="1"/>
    <xf numFmtId="37" fontId="22" fillId="2" borderId="22" xfId="0" applyNumberFormat="1" applyFont="1" applyFill="1" applyBorder="1" applyAlignment="1" applyProtection="1">
      <alignment horizontal="centerContinuous" wrapText="1"/>
    </xf>
    <xf numFmtId="3" fontId="13" fillId="3" borderId="0" xfId="0" applyFont="1" applyFill="1" applyAlignment="1">
      <alignment vertical="center"/>
    </xf>
    <xf numFmtId="3" fontId="13" fillId="3" borderId="15" xfId="0" applyFont="1" applyFill="1" applyBorder="1" applyAlignment="1">
      <alignment vertical="center"/>
    </xf>
    <xf numFmtId="3" fontId="13" fillId="0" borderId="23" xfId="0" applyFont="1" applyFill="1" applyBorder="1"/>
    <xf numFmtId="3" fontId="13" fillId="0" borderId="3" xfId="0" applyFont="1" applyFill="1" applyBorder="1"/>
    <xf numFmtId="3" fontId="13" fillId="0" borderId="3" xfId="0" applyFont="1" applyFill="1" applyBorder="1" applyAlignment="1"/>
    <xf numFmtId="3" fontId="13" fillId="0" borderId="0" xfId="5" applyFont="1" applyFill="1" applyBorder="1" applyAlignment="1"/>
    <xf numFmtId="168" fontId="13" fillId="2" borderId="16" xfId="7" applyNumberFormat="1" applyFont="1" applyFill="1" applyBorder="1"/>
    <xf numFmtId="168" fontId="13" fillId="2" borderId="3" xfId="7" applyNumberFormat="1" applyFont="1" applyFill="1" applyBorder="1"/>
    <xf numFmtId="165" fontId="13" fillId="2" borderId="24" xfId="1" applyNumberFormat="1" applyFont="1" applyFill="1" applyBorder="1"/>
    <xf numFmtId="165" fontId="13" fillId="2" borderId="4" xfId="1" applyNumberFormat="1" applyFont="1" applyFill="1" applyBorder="1"/>
    <xf numFmtId="165" fontId="13" fillId="2" borderId="5" xfId="1" applyNumberFormat="1" applyFont="1" applyFill="1" applyBorder="1"/>
    <xf numFmtId="3" fontId="12" fillId="0" borderId="13" xfId="0" applyFont="1" applyFill="1" applyBorder="1" applyAlignment="1">
      <alignment horizontal="centerContinuous"/>
    </xf>
    <xf numFmtId="3" fontId="13" fillId="0" borderId="11" xfId="0" applyFont="1" applyFill="1" applyBorder="1" applyAlignment="1">
      <alignment horizontal="centerContinuous"/>
    </xf>
    <xf numFmtId="37" fontId="22" fillId="0" borderId="17" xfId="0" applyNumberFormat="1" applyFont="1" applyFill="1" applyBorder="1" applyAlignment="1" applyProtection="1">
      <alignment horizontal="right"/>
    </xf>
    <xf numFmtId="37" fontId="22" fillId="0" borderId="11" xfId="0" applyNumberFormat="1" applyFont="1" applyFill="1" applyBorder="1" applyAlignment="1" applyProtection="1">
      <alignment horizontal="right"/>
    </xf>
    <xf numFmtId="3" fontId="29" fillId="0" borderId="0" xfId="0" applyFont="1"/>
    <xf numFmtId="168" fontId="13" fillId="0" borderId="0" xfId="7" applyNumberFormat="1" applyFont="1"/>
    <xf numFmtId="3" fontId="13" fillId="3" borderId="3" xfId="0" applyFont="1" applyFill="1" applyBorder="1" applyAlignment="1">
      <alignment vertical="center"/>
    </xf>
    <xf numFmtId="3" fontId="13" fillId="3" borderId="0" xfId="0" applyFont="1" applyFill="1" applyBorder="1" applyAlignment="1">
      <alignment vertical="center"/>
    </xf>
    <xf numFmtId="3" fontId="13" fillId="3" borderId="7" xfId="0" applyFont="1" applyFill="1" applyBorder="1" applyAlignment="1">
      <alignment vertical="center"/>
    </xf>
    <xf numFmtId="3" fontId="13" fillId="3" borderId="0" xfId="0" applyFont="1" applyFill="1"/>
    <xf numFmtId="3" fontId="13" fillId="3" borderId="3" xfId="0" applyFont="1" applyFill="1" applyBorder="1"/>
    <xf numFmtId="3" fontId="26" fillId="0" borderId="0" xfId="0" applyFont="1"/>
    <xf numFmtId="37" fontId="13" fillId="0" borderId="0" xfId="0" applyNumberFormat="1" applyFont="1" applyFill="1" applyBorder="1" applyAlignment="1">
      <alignment horizontal="right"/>
    </xf>
    <xf numFmtId="3" fontId="14" fillId="0" borderId="0" xfId="0" applyFont="1" applyFill="1" applyAlignment="1">
      <alignment horizontal="centerContinuous"/>
    </xf>
    <xf numFmtId="3" fontId="16" fillId="0" borderId="0" xfId="0" applyFont="1" applyFill="1" applyAlignment="1">
      <alignment horizontal="centerContinuous"/>
    </xf>
    <xf numFmtId="3" fontId="13" fillId="0" borderId="0" xfId="0" applyFont="1" applyFill="1" applyAlignment="1">
      <alignment horizontal="centerContinuous"/>
    </xf>
    <xf numFmtId="3" fontId="13" fillId="0" borderId="0" xfId="0" applyNumberFormat="1" applyFont="1" applyFill="1"/>
    <xf numFmtId="3" fontId="12" fillId="0" borderId="13" xfId="0" applyFont="1" applyFill="1" applyBorder="1" applyAlignment="1">
      <alignment horizontal="center"/>
    </xf>
    <xf numFmtId="37" fontId="13" fillId="0" borderId="6" xfId="0" applyNumberFormat="1" applyFont="1" applyFill="1" applyBorder="1" applyAlignment="1">
      <alignment horizontal="right"/>
    </xf>
    <xf numFmtId="37" fontId="16" fillId="0" borderId="0" xfId="0" applyNumberFormat="1" applyFont="1" applyFill="1" applyAlignment="1" applyProtection="1">
      <alignment horizontal="centerContinuous"/>
    </xf>
    <xf numFmtId="37" fontId="22" fillId="0" borderId="13" xfId="0" applyNumberFormat="1" applyFont="1" applyFill="1" applyBorder="1" applyProtection="1"/>
    <xf numFmtId="3" fontId="13" fillId="0" borderId="0" xfId="1" applyNumberFormat="1" applyFont="1" applyFill="1" applyAlignment="1">
      <alignment horizontal="right"/>
    </xf>
    <xf numFmtId="3" fontId="13" fillId="0" borderId="0" xfId="1" applyNumberFormat="1" applyFont="1" applyFill="1" applyBorder="1" applyAlignment="1">
      <alignment horizontal="right"/>
    </xf>
    <xf numFmtId="3" fontId="13" fillId="0" borderId="3" xfId="1" applyNumberFormat="1" applyFont="1" applyFill="1" applyBorder="1" applyAlignment="1">
      <alignment horizontal="right"/>
    </xf>
    <xf numFmtId="37" fontId="20" fillId="0" borderId="0" xfId="0" applyNumberFormat="1" applyFont="1" applyFill="1" applyAlignment="1" applyProtection="1">
      <alignment horizontal="centerContinuous"/>
    </xf>
    <xf numFmtId="37" fontId="13" fillId="0" borderId="3" xfId="0" applyNumberFormat="1" applyFont="1" applyFill="1" applyBorder="1" applyAlignment="1">
      <alignment horizontal="right"/>
    </xf>
    <xf numFmtId="3" fontId="15" fillId="0" borderId="0" xfId="0" applyFont="1" applyFill="1" applyAlignment="1">
      <alignment horizontal="centerContinuous"/>
    </xf>
    <xf numFmtId="3" fontId="13" fillId="0" borderId="0" xfId="0" applyNumberFormat="1" applyFont="1" applyFill="1" applyAlignment="1">
      <alignment horizontal="right"/>
    </xf>
    <xf numFmtId="3" fontId="13" fillId="0" borderId="0" xfId="0" applyNumberFormat="1" applyFont="1" applyFill="1" applyBorder="1" applyAlignment="1">
      <alignment horizontal="right"/>
    </xf>
    <xf numFmtId="3" fontId="13" fillId="0" borderId="3" xfId="0" applyNumberFormat="1" applyFont="1" applyFill="1" applyBorder="1" applyAlignment="1">
      <alignment horizontal="right"/>
    </xf>
    <xf numFmtId="37" fontId="22" fillId="0" borderId="14" xfId="0" applyNumberFormat="1" applyFont="1" applyFill="1" applyBorder="1" applyAlignment="1" applyProtection="1">
      <alignment horizontal="center" wrapText="1"/>
    </xf>
    <xf numFmtId="3" fontId="13" fillId="0" borderId="0" xfId="0" applyFont="1" applyFill="1" applyBorder="1" applyAlignment="1">
      <alignment horizontal="right"/>
    </xf>
    <xf numFmtId="37" fontId="22" fillId="0" borderId="0" xfId="0" applyNumberFormat="1" applyFont="1" applyFill="1" applyBorder="1" applyAlignment="1" applyProtection="1">
      <alignment horizontal="right"/>
    </xf>
    <xf numFmtId="3" fontId="17" fillId="0" borderId="0" xfId="0" applyNumberFormat="1" applyFont="1" applyFill="1"/>
    <xf numFmtId="3" fontId="13" fillId="3" borderId="16" xfId="0" applyFont="1" applyFill="1" applyBorder="1" applyAlignment="1">
      <alignment vertical="center"/>
    </xf>
    <xf numFmtId="3" fontId="27" fillId="0" borderId="0" xfId="0" applyFont="1"/>
    <xf numFmtId="3" fontId="31" fillId="0" borderId="13" xfId="0" applyFont="1" applyFill="1" applyBorder="1" applyAlignment="1">
      <alignment horizontal="center"/>
    </xf>
    <xf numFmtId="37" fontId="30" fillId="0" borderId="17" xfId="0" applyNumberFormat="1" applyFont="1" applyBorder="1" applyAlignment="1" applyProtection="1">
      <alignment horizontal="right"/>
    </xf>
    <xf numFmtId="37" fontId="30" fillId="0" borderId="11" xfId="0" applyNumberFormat="1" applyFont="1" applyBorder="1" applyAlignment="1" applyProtection="1">
      <alignment horizontal="right"/>
    </xf>
    <xf numFmtId="37" fontId="30" fillId="0" borderId="20" xfId="0" applyNumberFormat="1" applyFont="1" applyFill="1" applyBorder="1" applyAlignment="1" applyProtection="1">
      <alignment horizontal="right"/>
    </xf>
    <xf numFmtId="3" fontId="25" fillId="2" borderId="0" xfId="0" applyFont="1" applyFill="1"/>
    <xf numFmtId="37" fontId="16" fillId="0" borderId="0" xfId="0" applyNumberFormat="1" applyFont="1" applyAlignment="1" applyProtection="1">
      <alignment horizontal="center"/>
    </xf>
    <xf numFmtId="3" fontId="25" fillId="3" borderId="0" xfId="0" applyFont="1" applyFill="1"/>
    <xf numFmtId="3" fontId="21" fillId="3" borderId="0" xfId="0" applyFont="1" applyFill="1"/>
    <xf numFmtId="37" fontId="22" fillId="3" borderId="13" xfId="0" applyNumberFormat="1" applyFont="1" applyFill="1" applyBorder="1" applyAlignment="1" applyProtection="1">
      <alignment horizontal="centerContinuous"/>
    </xf>
    <xf numFmtId="3" fontId="12" fillId="3" borderId="11" xfId="0" applyFont="1" applyFill="1" applyBorder="1" applyAlignment="1">
      <alignment horizontal="centerContinuous"/>
    </xf>
    <xf numFmtId="37" fontId="22" fillId="3" borderId="25" xfId="0" applyNumberFormat="1" applyFont="1" applyFill="1" applyBorder="1" applyAlignment="1" applyProtection="1">
      <alignment horizontal="centerContinuous"/>
    </xf>
    <xf numFmtId="3" fontId="12" fillId="3" borderId="13" xfId="0" applyFont="1" applyFill="1" applyBorder="1" applyAlignment="1">
      <alignment horizontal="centerContinuous"/>
    </xf>
    <xf numFmtId="3" fontId="13" fillId="3" borderId="13" xfId="0" applyFont="1" applyFill="1" applyBorder="1" applyAlignment="1">
      <alignment horizontal="centerContinuous"/>
    </xf>
    <xf numFmtId="3" fontId="13" fillId="3" borderId="11" xfId="0" applyFont="1" applyFill="1" applyBorder="1" applyAlignment="1">
      <alignment horizontal="centerContinuous"/>
    </xf>
    <xf numFmtId="37" fontId="22" fillId="3" borderId="17" xfId="0" applyNumberFormat="1" applyFont="1" applyFill="1" applyBorder="1" applyAlignment="1" applyProtection="1">
      <alignment horizontal="center" wrapText="1"/>
    </xf>
    <xf numFmtId="37" fontId="22" fillId="3" borderId="17" xfId="0" applyNumberFormat="1" applyFont="1" applyFill="1" applyBorder="1" applyAlignment="1" applyProtection="1">
      <alignment horizontal="right"/>
    </xf>
    <xf numFmtId="37" fontId="22" fillId="3" borderId="26" xfId="0" applyNumberFormat="1" applyFont="1" applyFill="1" applyBorder="1" applyAlignment="1" applyProtection="1">
      <alignment horizontal="center" wrapText="1"/>
    </xf>
    <xf numFmtId="37" fontId="22" fillId="3" borderId="11" xfId="0" applyNumberFormat="1" applyFont="1" applyFill="1" applyBorder="1" applyAlignment="1" applyProtection="1">
      <alignment horizontal="right"/>
    </xf>
    <xf numFmtId="3" fontId="13" fillId="3" borderId="0" xfId="0" applyFont="1" applyFill="1" applyBorder="1"/>
    <xf numFmtId="3" fontId="27" fillId="0" borderId="0" xfId="0" applyFont="1" applyFill="1"/>
    <xf numFmtId="37" fontId="25" fillId="0" borderId="14" xfId="6" applyNumberFormat="1" applyFont="1" applyFill="1" applyBorder="1" applyAlignment="1" applyProtection="1">
      <alignment horizontal="center"/>
    </xf>
    <xf numFmtId="3" fontId="13" fillId="5" borderId="0" xfId="4" applyFont="1" applyFill="1" applyBorder="1" applyAlignment="1" applyProtection="1">
      <alignment wrapText="1"/>
    </xf>
    <xf numFmtId="0" fontId="13" fillId="5" borderId="0" xfId="4" applyNumberFormat="1" applyFont="1" applyFill="1" applyBorder="1" applyAlignment="1" applyProtection="1">
      <alignment horizontal="center" wrapText="1"/>
    </xf>
    <xf numFmtId="3" fontId="13" fillId="5" borderId="0" xfId="4" applyFont="1" applyFill="1" applyBorder="1" applyAlignment="1" applyProtection="1">
      <alignment horizontal="center" wrapText="1"/>
    </xf>
    <xf numFmtId="37" fontId="13" fillId="5" borderId="0" xfId="4" applyNumberFormat="1" applyFont="1" applyFill="1" applyBorder="1" applyAlignment="1" applyProtection="1">
      <alignment horizontal="center" wrapText="1"/>
    </xf>
    <xf numFmtId="3" fontId="13" fillId="5" borderId="0" xfId="4" applyFont="1" applyFill="1" applyBorder="1" applyAlignment="1">
      <alignment wrapText="1"/>
    </xf>
    <xf numFmtId="3" fontId="13" fillId="5" borderId="29" xfId="4" applyFont="1" applyFill="1" applyBorder="1" applyAlignment="1">
      <alignment horizontal="center" wrapText="1"/>
    </xf>
    <xf numFmtId="3" fontId="13" fillId="5" borderId="0" xfId="4" applyFont="1" applyFill="1" applyBorder="1" applyAlignment="1">
      <alignment horizontal="center" wrapText="1"/>
    </xf>
    <xf numFmtId="3" fontId="13" fillId="0" borderId="0" xfId="4" applyFont="1" applyFill="1" applyBorder="1" applyAlignment="1">
      <alignment wrapText="1"/>
    </xf>
    <xf numFmtId="3" fontId="13" fillId="0" borderId="0" xfId="4" applyFont="1" applyFill="1" applyBorder="1"/>
    <xf numFmtId="3" fontId="25" fillId="0" borderId="0" xfId="4" applyFont="1" applyFill="1" applyBorder="1"/>
    <xf numFmtId="0" fontId="13" fillId="0" borderId="0" xfId="4" applyNumberFormat="1" applyFont="1" applyFill="1" applyBorder="1" applyAlignment="1">
      <alignment horizontal="center"/>
    </xf>
    <xf numFmtId="3" fontId="13" fillId="0" borderId="0" xfId="4" applyFont="1" applyFill="1" applyBorder="1" applyAlignment="1">
      <alignment horizontal="center"/>
    </xf>
    <xf numFmtId="3" fontId="24" fillId="0" borderId="0" xfId="4" applyFont="1" applyFill="1" applyBorder="1" applyAlignment="1">
      <alignment horizontal="center"/>
    </xf>
    <xf numFmtId="3" fontId="25" fillId="0" borderId="0" xfId="4" applyFont="1" applyFill="1" applyBorder="1" applyAlignment="1">
      <alignment horizontal="center"/>
    </xf>
    <xf numFmtId="3" fontId="24" fillId="0" borderId="0" xfId="4" applyFont="1" applyFill="1" applyBorder="1"/>
    <xf numFmtId="37" fontId="17" fillId="0" borderId="0" xfId="0" applyNumberFormat="1" applyFont="1" applyBorder="1" applyAlignment="1" applyProtection="1">
      <alignment horizontal="left" vertical="top" wrapText="1"/>
    </xf>
    <xf numFmtId="37" fontId="20" fillId="0" borderId="0" xfId="0" applyNumberFormat="1" applyFont="1" applyAlignment="1" applyProtection="1">
      <alignment horizontal="center"/>
    </xf>
    <xf numFmtId="3" fontId="12" fillId="0" borderId="17" xfId="0" applyFont="1" applyFill="1" applyBorder="1" applyAlignment="1">
      <alignment horizontal="center"/>
    </xf>
    <xf numFmtId="37" fontId="22" fillId="0" borderId="14" xfId="0" applyNumberFormat="1" applyFont="1" applyBorder="1" applyAlignment="1" applyProtection="1">
      <alignment horizontal="center" wrapText="1"/>
    </xf>
    <xf numFmtId="168" fontId="13" fillId="0" borderId="0" xfId="7" applyNumberFormat="1" applyFont="1" applyBorder="1" applyAlignment="1">
      <alignment horizontal="right"/>
    </xf>
    <xf numFmtId="168" fontId="13" fillId="0" borderId="3" xfId="7" applyNumberFormat="1" applyFont="1" applyBorder="1" applyAlignment="1">
      <alignment horizontal="right"/>
    </xf>
    <xf numFmtId="49" fontId="0" fillId="0" borderId="0" xfId="0" applyNumberFormat="1" applyFill="1" applyAlignment="1">
      <alignment horizontal="right"/>
    </xf>
    <xf numFmtId="3" fontId="13" fillId="0" borderId="0" xfId="0" applyFont="1" applyFill="1" applyBorder="1" applyAlignment="1">
      <alignment horizontal="centerContinuous"/>
    </xf>
    <xf numFmtId="3" fontId="13" fillId="0" borderId="3" xfId="0" applyNumberFormat="1" applyFont="1" applyBorder="1"/>
    <xf numFmtId="37" fontId="22" fillId="0" borderId="30" xfId="0" applyNumberFormat="1" applyFont="1" applyBorder="1" applyAlignment="1" applyProtection="1">
      <alignment horizontal="right"/>
    </xf>
    <xf numFmtId="3" fontId="13" fillId="0" borderId="15" xfId="0" applyNumberFormat="1" applyFont="1" applyBorder="1" applyAlignment="1">
      <alignment horizontal="right"/>
    </xf>
    <xf numFmtId="3" fontId="13" fillId="0" borderId="16" xfId="0" applyNumberFormat="1" applyFont="1" applyBorder="1" applyAlignment="1">
      <alignment horizontal="right"/>
    </xf>
    <xf numFmtId="3" fontId="13" fillId="0" borderId="15" xfId="0" applyNumberFormat="1" applyFont="1" applyFill="1" applyBorder="1" applyAlignment="1">
      <alignment horizontal="right"/>
    </xf>
    <xf numFmtId="3" fontId="13" fillId="0" borderId="16" xfId="0" applyNumberFormat="1" applyFont="1" applyFill="1" applyBorder="1" applyAlignment="1">
      <alignment horizontal="right"/>
    </xf>
    <xf numFmtId="37" fontId="20" fillId="0" borderId="0" xfId="0" applyNumberFormat="1" applyFont="1" applyFill="1" applyAlignment="1" applyProtection="1">
      <alignment horizontal="center"/>
    </xf>
    <xf numFmtId="37" fontId="20" fillId="0" borderId="0" xfId="0" applyNumberFormat="1" applyFont="1" applyFill="1" applyBorder="1" applyAlignment="1" applyProtection="1">
      <alignment horizontal="center"/>
    </xf>
    <xf numFmtId="37" fontId="30" fillId="0" borderId="11" xfId="0" applyNumberFormat="1" applyFont="1" applyBorder="1" applyAlignment="1" applyProtection="1">
      <alignment horizontal="center"/>
    </xf>
    <xf numFmtId="3" fontId="31" fillId="0" borderId="11" xfId="0" applyFont="1" applyBorder="1" applyAlignment="1">
      <alignment horizontal="center"/>
    </xf>
    <xf numFmtId="3" fontId="33" fillId="0" borderId="0" xfId="0" applyFont="1"/>
    <xf numFmtId="3" fontId="21" fillId="0" borderId="2" xfId="0" applyFont="1" applyBorder="1"/>
    <xf numFmtId="3" fontId="13" fillId="0" borderId="2" xfId="0" applyFont="1" applyBorder="1"/>
    <xf numFmtId="3" fontId="13" fillId="0" borderId="31" xfId="0" applyFont="1" applyBorder="1"/>
    <xf numFmtId="3" fontId="21" fillId="0" borderId="34" xfId="0" applyFont="1" applyBorder="1"/>
    <xf numFmtId="37" fontId="13" fillId="0" borderId="15" xfId="0" applyNumberFormat="1" applyFont="1" applyBorder="1" applyAlignment="1">
      <alignment horizontal="right"/>
    </xf>
    <xf numFmtId="37" fontId="13" fillId="0" borderId="16" xfId="0" applyNumberFormat="1" applyFont="1" applyBorder="1" applyAlignment="1">
      <alignment horizontal="right"/>
    </xf>
    <xf numFmtId="37" fontId="21" fillId="0" borderId="14" xfId="0" applyNumberFormat="1" applyFont="1" applyBorder="1" applyAlignment="1" applyProtection="1">
      <alignment horizontal="center"/>
    </xf>
    <xf numFmtId="37" fontId="22" fillId="0" borderId="17" xfId="0" applyNumberFormat="1" applyFont="1" applyBorder="1" applyAlignment="1" applyProtection="1">
      <alignment horizontal="centerContinuous"/>
    </xf>
    <xf numFmtId="37" fontId="22" fillId="0" borderId="30" xfId="0" applyNumberFormat="1" applyFont="1" applyBorder="1" applyAlignment="1" applyProtection="1">
      <alignment horizontal="centerContinuous"/>
    </xf>
    <xf numFmtId="3" fontId="13" fillId="0" borderId="0" xfId="0" applyNumberFormat="1" applyFont="1" applyFill="1" applyBorder="1"/>
    <xf numFmtId="37" fontId="22" fillId="0" borderId="14" xfId="0" applyNumberFormat="1" applyFont="1" applyFill="1" applyBorder="1" applyAlignment="1" applyProtection="1">
      <alignment horizontal="centerContinuous" wrapText="1"/>
    </xf>
    <xf numFmtId="3" fontId="17" fillId="0" borderId="0" xfId="0" applyNumberFormat="1" applyFont="1" applyFill="1" applyBorder="1"/>
    <xf numFmtId="37" fontId="22" fillId="0" borderId="14" xfId="0" applyNumberFormat="1" applyFont="1" applyBorder="1" applyAlignment="1" applyProtection="1">
      <alignment horizontal="center"/>
    </xf>
    <xf numFmtId="37" fontId="22" fillId="0" borderId="21" xfId="0" applyNumberFormat="1" applyFont="1" applyBorder="1" applyAlignment="1" applyProtection="1">
      <alignment horizontal="center"/>
    </xf>
    <xf numFmtId="37" fontId="16" fillId="0" borderId="0" xfId="0" applyNumberFormat="1" applyFont="1" applyAlignment="1" applyProtection="1">
      <alignment horizontal="left"/>
    </xf>
    <xf numFmtId="3" fontId="13" fillId="0" borderId="0" xfId="0" applyFont="1" applyAlignment="1">
      <alignment horizontal="left"/>
    </xf>
    <xf numFmtId="3" fontId="16" fillId="0" borderId="0" xfId="0" applyFont="1" applyFill="1" applyBorder="1" applyAlignment="1">
      <alignment horizontal="centerContinuous"/>
    </xf>
    <xf numFmtId="37" fontId="16" fillId="0" borderId="0" xfId="0" applyNumberFormat="1" applyFont="1" applyFill="1" applyBorder="1" applyAlignment="1" applyProtection="1">
      <alignment horizontal="center"/>
    </xf>
    <xf numFmtId="37" fontId="17" fillId="0" borderId="0" xfId="0" applyNumberFormat="1" applyFont="1" applyFill="1" applyBorder="1" applyAlignment="1" applyProtection="1">
      <alignment horizontal="left" vertical="top" wrapText="1"/>
    </xf>
    <xf numFmtId="49" fontId="11" fillId="0" borderId="0" xfId="0" quotePrefix="1" applyNumberFormat="1" applyFont="1" applyFill="1" applyBorder="1" applyAlignment="1">
      <alignment horizontal="right"/>
    </xf>
    <xf numFmtId="3" fontId="13" fillId="0" borderId="3" xfId="0" applyNumberFormat="1" applyFont="1" applyFill="1" applyBorder="1"/>
    <xf numFmtId="37" fontId="21" fillId="0" borderId="3" xfId="0" applyNumberFormat="1" applyFont="1" applyBorder="1" applyAlignment="1" applyProtection="1">
      <alignment horizontal="center"/>
    </xf>
    <xf numFmtId="37" fontId="22" fillId="0" borderId="3" xfId="0" applyNumberFormat="1" applyFont="1" applyBorder="1" applyAlignment="1" applyProtection="1">
      <alignment horizontal="center" wrapText="1"/>
    </xf>
    <xf numFmtId="37" fontId="22" fillId="0" borderId="16" xfId="0" applyNumberFormat="1" applyFont="1" applyBorder="1" applyAlignment="1" applyProtection="1">
      <alignment horizontal="center" wrapText="1"/>
    </xf>
    <xf numFmtId="37" fontId="22" fillId="0" borderId="21" xfId="0" applyNumberFormat="1" applyFont="1" applyBorder="1" applyAlignment="1" applyProtection="1">
      <alignment horizontal="right"/>
    </xf>
    <xf numFmtId="37" fontId="13" fillId="0" borderId="0" xfId="0" quotePrefix="1" applyNumberFormat="1" applyFont="1" applyAlignment="1">
      <alignment horizontal="right"/>
    </xf>
    <xf numFmtId="37" fontId="13" fillId="0" borderId="15" xfId="0" quotePrefix="1" applyNumberFormat="1" applyFont="1" applyBorder="1" applyAlignment="1">
      <alignment horizontal="right"/>
    </xf>
    <xf numFmtId="37" fontId="13" fillId="0" borderId="0" xfId="0" quotePrefix="1" applyNumberFormat="1" applyFont="1" applyAlignment="1">
      <alignment horizontal="left"/>
    </xf>
    <xf numFmtId="168" fontId="13" fillId="0" borderId="0" xfId="7" applyNumberFormat="1" applyFont="1" applyBorder="1"/>
    <xf numFmtId="10" fontId="13" fillId="0" borderId="0" xfId="7" applyNumberFormat="1" applyFont="1" applyBorder="1" applyAlignment="1">
      <alignment horizontal="right"/>
    </xf>
    <xf numFmtId="168" fontId="13" fillId="0" borderId="3" xfId="7" applyNumberFormat="1" applyFont="1" applyBorder="1"/>
    <xf numFmtId="3" fontId="21" fillId="0" borderId="14" xfId="6" applyFont="1" applyFill="1" applyBorder="1"/>
    <xf numFmtId="3" fontId="33" fillId="0" borderId="0" xfId="0" applyFont="1" applyFill="1" applyBorder="1"/>
    <xf numFmtId="3" fontId="33" fillId="0" borderId="0" xfId="0" applyFont="1" applyFill="1"/>
    <xf numFmtId="166" fontId="34" fillId="0" borderId="0" xfId="0" applyNumberFormat="1" applyFont="1" applyFill="1" applyBorder="1" applyAlignment="1"/>
    <xf numFmtId="168" fontId="21" fillId="0" borderId="7" xfId="0" applyNumberFormat="1" applyFont="1" applyBorder="1"/>
    <xf numFmtId="3" fontId="21" fillId="2" borderId="15" xfId="0" applyFont="1" applyFill="1" applyBorder="1"/>
    <xf numFmtId="3" fontId="13" fillId="2" borderId="0" xfId="0" applyFont="1" applyFill="1" applyBorder="1"/>
    <xf numFmtId="37" fontId="22" fillId="2" borderId="21" xfId="0" applyNumberFormat="1" applyFont="1" applyFill="1" applyBorder="1" applyAlignment="1" applyProtection="1">
      <alignment horizontal="centerContinuous"/>
    </xf>
    <xf numFmtId="168" fontId="13" fillId="2" borderId="15" xfId="7" applyNumberFormat="1" applyFont="1" applyFill="1" applyBorder="1"/>
    <xf numFmtId="168" fontId="13" fillId="2" borderId="0" xfId="7" applyNumberFormat="1" applyFont="1" applyFill="1" applyBorder="1"/>
    <xf numFmtId="168" fontId="21" fillId="0" borderId="8" xfId="0" applyNumberFormat="1" applyFont="1" applyBorder="1"/>
    <xf numFmtId="37" fontId="20" fillId="0" borderId="0" xfId="0" applyNumberFormat="1" applyFont="1" applyAlignment="1" applyProtection="1">
      <alignment horizontal="left"/>
    </xf>
    <xf numFmtId="37" fontId="22" fillId="0" borderId="36" xfId="0" applyNumberFormat="1" applyFont="1" applyFill="1" applyBorder="1" applyAlignment="1" applyProtection="1">
      <alignment horizontal="right"/>
    </xf>
    <xf numFmtId="37" fontId="22" fillId="0" borderId="16" xfId="0" applyNumberFormat="1" applyFont="1" applyFill="1" applyBorder="1" applyAlignment="1" applyProtection="1">
      <alignment horizontal="right"/>
    </xf>
    <xf numFmtId="3" fontId="14" fillId="0" borderId="0" xfId="0" applyFont="1" applyFill="1" applyBorder="1" applyAlignment="1">
      <alignment horizontal="centerContinuous"/>
    </xf>
    <xf numFmtId="3" fontId="29" fillId="0" borderId="0" xfId="0" applyFont="1" applyAlignment="1">
      <alignment horizontal="centerContinuous"/>
    </xf>
    <xf numFmtId="3" fontId="26" fillId="0" borderId="0" xfId="0" applyFont="1" applyAlignment="1">
      <alignment horizontal="centerContinuous"/>
    </xf>
    <xf numFmtId="3" fontId="35" fillId="0" borderId="0" xfId="0" applyFont="1"/>
    <xf numFmtId="37" fontId="22" fillId="0" borderId="17" xfId="0" applyNumberFormat="1" applyFont="1" applyBorder="1" applyAlignment="1" applyProtection="1">
      <alignment horizontal="centerContinuous" wrapText="1"/>
    </xf>
    <xf numFmtId="3" fontId="36" fillId="3" borderId="0" xfId="0" applyFont="1" applyFill="1" applyAlignment="1">
      <alignment vertical="center"/>
    </xf>
    <xf numFmtId="3" fontId="21" fillId="0" borderId="3" xfId="0" applyFont="1" applyBorder="1"/>
    <xf numFmtId="3" fontId="13" fillId="0" borderId="3" xfId="0" applyFont="1" applyBorder="1" applyAlignment="1">
      <alignment horizontal="right" wrapText="1"/>
    </xf>
    <xf numFmtId="3" fontId="13" fillId="0" borderId="21" xfId="0" applyFont="1" applyBorder="1"/>
    <xf numFmtId="3" fontId="13" fillId="0" borderId="16" xfId="0" applyFont="1" applyBorder="1" applyAlignment="1">
      <alignment horizontal="right" wrapText="1"/>
    </xf>
    <xf numFmtId="3" fontId="35" fillId="3" borderId="0" xfId="0" applyFont="1" applyFill="1"/>
    <xf numFmtId="3" fontId="35" fillId="0" borderId="3" xfId="0" applyFont="1" applyBorder="1"/>
    <xf numFmtId="3" fontId="13" fillId="0" borderId="28" xfId="0" applyFont="1" applyBorder="1"/>
    <xf numFmtId="10" fontId="13" fillId="0" borderId="5" xfId="7" applyNumberFormat="1" applyFont="1" applyBorder="1" applyAlignment="1">
      <alignment horizontal="right"/>
    </xf>
    <xf numFmtId="10" fontId="13" fillId="0" borderId="0" xfId="7" applyNumberFormat="1" applyFont="1" applyBorder="1"/>
    <xf numFmtId="10" fontId="13" fillId="0" borderId="15" xfId="7" applyNumberFormat="1" applyFont="1" applyBorder="1"/>
    <xf numFmtId="3" fontId="35" fillId="0" borderId="7" xfId="0" applyFont="1" applyBorder="1"/>
    <xf numFmtId="165" fontId="21" fillId="0" borderId="2" xfId="0" applyNumberFormat="1" applyFont="1" applyFill="1" applyBorder="1" applyAlignment="1"/>
    <xf numFmtId="165" fontId="13" fillId="0" borderId="33" xfId="0" applyNumberFormat="1" applyFont="1" applyFill="1" applyBorder="1"/>
    <xf numFmtId="165" fontId="13" fillId="0" borderId="7" xfId="0" applyNumberFormat="1" applyFont="1" applyFill="1" applyBorder="1"/>
    <xf numFmtId="165" fontId="13" fillId="0" borderId="0" xfId="0" applyNumberFormat="1" applyFont="1" applyFill="1"/>
    <xf numFmtId="166" fontId="21" fillId="0" borderId="33" xfId="0" applyNumberFormat="1" applyFont="1" applyFill="1" applyBorder="1" applyAlignment="1">
      <alignment horizontal="right"/>
    </xf>
    <xf numFmtId="165" fontId="21" fillId="0" borderId="34" xfId="0" applyNumberFormat="1" applyFont="1" applyFill="1" applyBorder="1" applyAlignment="1"/>
    <xf numFmtId="165" fontId="13" fillId="5" borderId="0" xfId="1" applyNumberFormat="1" applyFont="1" applyFill="1" applyBorder="1" applyAlignment="1" applyProtection="1">
      <alignment horizontal="center" wrapText="1"/>
    </xf>
    <xf numFmtId="3" fontId="13" fillId="8" borderId="0" xfId="0" applyFont="1" applyFill="1" applyBorder="1"/>
    <xf numFmtId="165" fontId="13" fillId="0" borderId="34" xfId="0" applyNumberFormat="1" applyFont="1" applyFill="1" applyBorder="1" applyAlignment="1">
      <alignment wrapText="1"/>
    </xf>
    <xf numFmtId="165" fontId="13" fillId="8" borderId="34" xfId="0" applyNumberFormat="1" applyFont="1" applyFill="1" applyBorder="1"/>
    <xf numFmtId="165" fontId="13" fillId="8" borderId="2" xfId="0" applyNumberFormat="1" applyFont="1" applyFill="1" applyBorder="1"/>
    <xf numFmtId="165" fontId="13" fillId="8" borderId="32" xfId="0" applyNumberFormat="1" applyFont="1" applyFill="1" applyBorder="1"/>
    <xf numFmtId="168" fontId="21" fillId="0" borderId="7" xfId="0" applyNumberFormat="1" applyFont="1" applyFill="1" applyBorder="1" applyAlignment="1">
      <alignment horizontal="right"/>
    </xf>
    <xf numFmtId="168" fontId="21" fillId="0" borderId="0" xfId="0" applyNumberFormat="1" applyFont="1" applyFill="1" applyAlignment="1">
      <alignment horizontal="right"/>
    </xf>
    <xf numFmtId="3" fontId="13" fillId="3" borderId="8" xfId="0" applyFont="1" applyFill="1" applyBorder="1" applyAlignment="1">
      <alignment vertical="center"/>
    </xf>
    <xf numFmtId="168" fontId="13" fillId="0" borderId="0" xfId="7" quotePrefix="1" applyNumberFormat="1" applyFont="1" applyBorder="1" applyAlignment="1">
      <alignment horizontal="right"/>
    </xf>
    <xf numFmtId="168" fontId="41" fillId="0" borderId="0" xfId="7" quotePrefix="1" applyNumberFormat="1" applyFont="1" applyBorder="1" applyAlignment="1">
      <alignment horizontal="right"/>
    </xf>
    <xf numFmtId="168" fontId="41" fillId="0" borderId="0" xfId="7" quotePrefix="1" applyNumberFormat="1" applyFont="1" applyAlignment="1">
      <alignment vertical="center"/>
    </xf>
    <xf numFmtId="3" fontId="41" fillId="0" borderId="15" xfId="0" applyNumberFormat="1" applyFont="1" applyBorder="1" applyAlignment="1">
      <alignment horizontal="right"/>
    </xf>
    <xf numFmtId="168" fontId="41" fillId="0" borderId="0" xfId="7" quotePrefix="1" applyNumberFormat="1" applyFont="1" applyFill="1" applyAlignment="1">
      <alignment vertical="center"/>
    </xf>
    <xf numFmtId="3" fontId="41" fillId="0" borderId="15" xfId="0" applyFont="1" applyBorder="1"/>
    <xf numFmtId="3" fontId="41" fillId="0" borderId="0" xfId="0" applyFont="1"/>
    <xf numFmtId="3" fontId="41" fillId="0" borderId="0" xfId="0" applyNumberFormat="1" applyFont="1" applyAlignment="1">
      <alignment horizontal="right"/>
    </xf>
    <xf numFmtId="3" fontId="41" fillId="0" borderId="15" xfId="0" applyFont="1" applyFill="1" applyBorder="1"/>
    <xf numFmtId="37" fontId="22" fillId="0" borderId="40" xfId="0" applyNumberFormat="1" applyFont="1" applyBorder="1" applyAlignment="1" applyProtection="1">
      <alignment horizontal="center" wrapText="1"/>
    </xf>
    <xf numFmtId="3" fontId="41" fillId="0" borderId="0" xfId="0" applyFont="1" applyBorder="1"/>
    <xf numFmtId="37" fontId="17" fillId="0" borderId="0" xfId="0" applyNumberFormat="1" applyFont="1" applyBorder="1" applyAlignment="1" applyProtection="1">
      <alignment horizontal="left" vertical="top" wrapText="1"/>
    </xf>
    <xf numFmtId="37" fontId="20" fillId="0" borderId="0" xfId="0" applyNumberFormat="1" applyFont="1" applyAlignment="1" applyProtection="1">
      <alignment horizontal="center"/>
    </xf>
    <xf numFmtId="37" fontId="16" fillId="0" borderId="0" xfId="0" applyNumberFormat="1" applyFont="1" applyAlignment="1" applyProtection="1">
      <alignment horizontal="center"/>
    </xf>
    <xf numFmtId="171" fontId="13" fillId="0" borderId="0" xfId="0" applyNumberFormat="1" applyFont="1"/>
    <xf numFmtId="0" fontId="42" fillId="9" borderId="42" xfId="25" applyNumberFormat="1" applyFont="1" applyFill="1" applyBorder="1" applyAlignment="1" applyProtection="1">
      <alignment horizontal="center"/>
      <protection locked="0"/>
    </xf>
    <xf numFmtId="0" fontId="42" fillId="9" borderId="42" xfId="26" applyNumberFormat="1" applyFont="1" applyFill="1" applyBorder="1" applyAlignment="1" applyProtection="1">
      <alignment horizontal="left" wrapText="1"/>
      <protection locked="0"/>
    </xf>
    <xf numFmtId="0" fontId="42" fillId="9" borderId="42" xfId="26" applyNumberFormat="1" applyFont="1" applyFill="1" applyBorder="1" applyAlignment="1" applyProtection="1">
      <alignment horizontal="center"/>
      <protection locked="0"/>
    </xf>
    <xf numFmtId="1" fontId="42" fillId="9" borderId="42" xfId="26" applyNumberFormat="1" applyFont="1" applyFill="1" applyBorder="1" applyAlignment="1" applyProtection="1">
      <alignment horizontal="center"/>
      <protection locked="0"/>
    </xf>
    <xf numFmtId="0" fontId="21" fillId="10" borderId="43" xfId="23" applyNumberFormat="1" applyFont="1" applyFill="1" applyBorder="1" applyAlignment="1" applyProtection="1">
      <alignment horizontal="center"/>
      <protection locked="0"/>
    </xf>
    <xf numFmtId="0" fontId="21" fillId="0" borderId="42" xfId="23" applyNumberFormat="1" applyFont="1" applyFill="1" applyBorder="1" applyAlignment="1" applyProtection="1">
      <alignment horizontal="center"/>
      <protection locked="0"/>
    </xf>
    <xf numFmtId="0" fontId="43" fillId="11" borderId="44" xfId="23" applyNumberFormat="1" applyFont="1" applyFill="1" applyBorder="1" applyAlignment="1" applyProtection="1">
      <alignment horizontal="center"/>
      <protection locked="0"/>
    </xf>
    <xf numFmtId="0" fontId="43" fillId="11" borderId="45" xfId="23" applyNumberFormat="1" applyFont="1" applyFill="1" applyBorder="1" applyAlignment="1" applyProtection="1">
      <alignment horizontal="center"/>
      <protection locked="0"/>
    </xf>
    <xf numFmtId="0" fontId="43" fillId="6" borderId="44" xfId="23" applyNumberFormat="1" applyFont="1" applyFill="1" applyBorder="1" applyAlignment="1" applyProtection="1">
      <alignment horizontal="center"/>
      <protection locked="0"/>
    </xf>
    <xf numFmtId="0" fontId="43" fillId="6" borderId="45" xfId="23" applyNumberFormat="1" applyFont="1" applyFill="1" applyBorder="1" applyAlignment="1" applyProtection="1">
      <alignment horizontal="center"/>
      <protection locked="0"/>
    </xf>
    <xf numFmtId="0" fontId="43" fillId="6" borderId="46" xfId="23" applyNumberFormat="1" applyFont="1" applyFill="1" applyBorder="1" applyAlignment="1" applyProtection="1">
      <alignment horizontal="center"/>
      <protection locked="0"/>
    </xf>
    <xf numFmtId="0" fontId="43" fillId="11" borderId="44" xfId="23" applyNumberFormat="1" applyFont="1" applyFill="1" applyBorder="1" applyAlignment="1" applyProtection="1">
      <alignment horizontal="center"/>
    </xf>
    <xf numFmtId="0" fontId="43" fillId="11" borderId="45" xfId="23" applyNumberFormat="1" applyFont="1" applyFill="1" applyBorder="1" applyAlignment="1" applyProtection="1">
      <alignment horizontal="center"/>
    </xf>
    <xf numFmtId="0" fontId="43" fillId="6" borderId="44" xfId="23" applyNumberFormat="1" applyFont="1" applyFill="1" applyBorder="1" applyAlignment="1" applyProtection="1">
      <alignment horizontal="center"/>
    </xf>
    <xf numFmtId="0" fontId="43" fillId="6" borderId="45" xfId="23" applyNumberFormat="1" applyFont="1" applyFill="1" applyBorder="1" applyAlignment="1" applyProtection="1">
      <alignment horizontal="center"/>
    </xf>
    <xf numFmtId="0" fontId="43" fillId="6" borderId="48" xfId="23" applyNumberFormat="1" applyFont="1" applyFill="1" applyBorder="1" applyAlignment="1" applyProtection="1">
      <alignment horizontal="center"/>
    </xf>
    <xf numFmtId="0" fontId="43" fillId="11" borderId="47" xfId="23" applyNumberFormat="1" applyFont="1" applyFill="1" applyBorder="1" applyAlignment="1" applyProtection="1">
      <alignment horizontal="center"/>
    </xf>
    <xf numFmtId="0" fontId="13" fillId="0" borderId="0" xfId="23" applyNumberFormat="1" applyFont="1" applyFill="1" applyBorder="1" applyAlignment="1" applyProtection="1">
      <alignment horizontal="center"/>
      <protection locked="0"/>
    </xf>
    <xf numFmtId="37" fontId="21" fillId="0" borderId="16" xfId="6" applyNumberFormat="1" applyFont="1" applyFill="1" applyBorder="1" applyAlignment="1" applyProtection="1">
      <alignment horizontal="centerContinuous" wrapText="1"/>
    </xf>
    <xf numFmtId="37" fontId="25" fillId="0" borderId="5" xfId="6" applyNumberFormat="1" applyFont="1" applyFill="1" applyBorder="1" applyAlignment="1" applyProtection="1">
      <alignment horizontal="centerContinuous" wrapText="1"/>
    </xf>
    <xf numFmtId="37" fontId="21" fillId="0" borderId="16" xfId="5" applyNumberFormat="1" applyFont="1" applyFill="1" applyBorder="1" applyAlignment="1" applyProtection="1">
      <alignment horizontal="centerContinuous" wrapText="1"/>
    </xf>
    <xf numFmtId="37" fontId="25" fillId="0" borderId="14" xfId="5" applyNumberFormat="1" applyFont="1" applyFill="1" applyBorder="1" applyAlignment="1" applyProtection="1">
      <alignment horizontal="centerContinuous" wrapText="1"/>
    </xf>
    <xf numFmtId="165" fontId="13" fillId="10" borderId="49" xfId="23" applyNumberFormat="1" applyFont="1" applyFill="1" applyBorder="1" applyAlignment="1" applyProtection="1">
      <alignment horizontal="center"/>
      <protection locked="0"/>
    </xf>
    <xf numFmtId="165" fontId="21" fillId="0" borderId="0" xfId="23" applyNumberFormat="1" applyFont="1" applyFill="1" applyBorder="1" applyAlignment="1" applyProtection="1">
      <alignment horizontal="center"/>
      <protection locked="0"/>
    </xf>
    <xf numFmtId="3" fontId="13" fillId="10" borderId="37" xfId="23" applyNumberFormat="1" applyFont="1" applyFill="1" applyBorder="1" applyAlignment="1" applyProtection="1">
      <alignment horizontal="right"/>
      <protection locked="0"/>
    </xf>
    <xf numFmtId="3" fontId="21" fillId="0" borderId="0" xfId="23" applyNumberFormat="1" applyFont="1" applyFill="1" applyBorder="1" applyAlignment="1" applyProtection="1">
      <alignment horizontal="right"/>
      <protection locked="0"/>
    </xf>
    <xf numFmtId="3" fontId="38" fillId="11" borderId="37" xfId="23" applyNumberFormat="1" applyFont="1" applyFill="1" applyBorder="1" applyAlignment="1" applyProtection="1">
      <alignment horizontal="right"/>
    </xf>
    <xf numFmtId="3" fontId="38" fillId="11" borderId="15" xfId="23" applyNumberFormat="1" applyFont="1" applyFill="1" applyBorder="1" applyAlignment="1" applyProtection="1">
      <alignment horizontal="right"/>
    </xf>
    <xf numFmtId="3" fontId="43" fillId="6" borderId="37" xfId="23" applyNumberFormat="1" applyFont="1" applyFill="1" applyBorder="1" applyAlignment="1" applyProtection="1">
      <alignment horizontal="right"/>
    </xf>
    <xf numFmtId="3" fontId="43" fillId="6" borderId="15" xfId="23" applyNumberFormat="1" applyFont="1" applyFill="1" applyBorder="1" applyAlignment="1" applyProtection="1">
      <alignment horizontal="right"/>
    </xf>
    <xf numFmtId="3" fontId="43" fillId="6" borderId="50" xfId="23" applyNumberFormat="1" applyFont="1" applyFill="1" applyBorder="1" applyAlignment="1" applyProtection="1">
      <alignment horizontal="right"/>
    </xf>
    <xf numFmtId="3" fontId="13" fillId="10" borderId="49" xfId="23" applyNumberFormat="1" applyFont="1" applyFill="1" applyBorder="1" applyAlignment="1" applyProtection="1">
      <alignment horizontal="right"/>
      <protection locked="0"/>
    </xf>
    <xf numFmtId="3" fontId="13" fillId="10" borderId="51" xfId="23" applyNumberFormat="1" applyFont="1" applyFill="1" applyBorder="1" applyAlignment="1" applyProtection="1">
      <alignment horizontal="right"/>
      <protection locked="0"/>
    </xf>
    <xf numFmtId="3" fontId="21" fillId="0" borderId="15" xfId="23" applyNumberFormat="1" applyFont="1" applyFill="1" applyBorder="1" applyAlignment="1" applyProtection="1">
      <alignment horizontal="right"/>
      <protection locked="0"/>
    </xf>
    <xf numFmtId="3" fontId="38" fillId="11" borderId="0" xfId="23" applyNumberFormat="1" applyFont="1" applyFill="1" applyBorder="1" applyAlignment="1" applyProtection="1">
      <alignment horizontal="right"/>
    </xf>
    <xf numFmtId="3" fontId="43" fillId="6" borderId="52" xfId="23" applyNumberFormat="1" applyFont="1" applyFill="1" applyBorder="1" applyAlignment="1" applyProtection="1">
      <alignment horizontal="right"/>
    </xf>
    <xf numFmtId="3" fontId="38" fillId="11" borderId="51" xfId="23" applyNumberFormat="1" applyFont="1" applyFill="1" applyBorder="1" applyAlignment="1" applyProtection="1">
      <alignment horizontal="right"/>
    </xf>
    <xf numFmtId="49" fontId="13" fillId="2" borderId="0" xfId="23" applyNumberFormat="1" applyFont="1" applyFill="1" applyBorder="1" applyAlignment="1" applyProtection="1">
      <alignment horizontal="left"/>
      <protection locked="0"/>
    </xf>
    <xf numFmtId="49" fontId="13" fillId="2" borderId="0" xfId="23" applyNumberFormat="1" applyFont="1" applyFill="1" applyBorder="1" applyAlignment="1" applyProtection="1">
      <alignment horizontal="center"/>
      <protection locked="0"/>
    </xf>
    <xf numFmtId="49" fontId="13" fillId="4" borderId="0" xfId="23" applyNumberFormat="1" applyFont="1" applyFill="1" applyBorder="1" applyAlignment="1" applyProtection="1">
      <alignment horizontal="center"/>
      <protection locked="0"/>
    </xf>
    <xf numFmtId="37" fontId="21" fillId="12" borderId="21" xfId="5" applyNumberFormat="1" applyFont="1" applyFill="1" applyBorder="1" applyAlignment="1" applyProtection="1">
      <alignment horizontal="center" wrapText="1"/>
    </xf>
    <xf numFmtId="37" fontId="25" fillId="6" borderId="21" xfId="5" applyNumberFormat="1" applyFont="1" applyFill="1" applyBorder="1" applyAlignment="1" applyProtection="1">
      <alignment horizontal="center" wrapText="1"/>
    </xf>
    <xf numFmtId="37" fontId="25" fillId="0" borderId="14" xfId="6" applyNumberFormat="1" applyFont="1" applyFill="1" applyBorder="1" applyAlignment="1" applyProtection="1">
      <alignment horizontal="centerContinuous"/>
    </xf>
    <xf numFmtId="37" fontId="25" fillId="0" borderId="21" xfId="6" applyNumberFormat="1" applyFont="1" applyFill="1" applyBorder="1" applyAlignment="1" applyProtection="1">
      <alignment horizontal="centerContinuous"/>
    </xf>
    <xf numFmtId="37" fontId="25" fillId="0" borderId="22" xfId="6" applyNumberFormat="1" applyFont="1" applyFill="1" applyBorder="1" applyAlignment="1" applyProtection="1">
      <alignment horizontal="centerContinuous"/>
    </xf>
    <xf numFmtId="37" fontId="25" fillId="6" borderId="39" xfId="5" applyNumberFormat="1" applyFont="1" applyFill="1" applyBorder="1" applyAlignment="1" applyProtection="1">
      <alignment horizontal="center" wrapText="1"/>
    </xf>
    <xf numFmtId="3" fontId="21" fillId="0" borderId="21" xfId="6" applyFont="1" applyFill="1" applyBorder="1" applyAlignment="1">
      <alignment horizontal="centerContinuous"/>
    </xf>
    <xf numFmtId="3" fontId="21" fillId="0" borderId="14" xfId="6" applyFont="1" applyFill="1" applyBorder="1" applyAlignment="1">
      <alignment horizontal="centerContinuous"/>
    </xf>
    <xf numFmtId="49" fontId="13" fillId="2" borderId="0" xfId="24" applyNumberFormat="1" applyFont="1" applyFill="1" applyBorder="1" applyAlignment="1" applyProtection="1">
      <alignment horizontal="left"/>
      <protection locked="0"/>
    </xf>
    <xf numFmtId="3" fontId="34" fillId="0" borderId="0" xfId="0" applyNumberFormat="1" applyFont="1" applyFill="1" applyBorder="1" applyAlignment="1"/>
    <xf numFmtId="3" fontId="25" fillId="0" borderId="53" xfId="0" applyFont="1" applyBorder="1" applyAlignment="1">
      <alignment vertical="center"/>
    </xf>
    <xf numFmtId="165" fontId="21" fillId="0" borderId="35" xfId="0" applyNumberFormat="1" applyFont="1" applyFill="1" applyBorder="1" applyAlignment="1">
      <alignment horizontal="right"/>
    </xf>
    <xf numFmtId="165" fontId="13" fillId="8" borderId="7" xfId="0" applyNumberFormat="1" applyFont="1" applyFill="1" applyBorder="1"/>
    <xf numFmtId="168" fontId="21" fillId="8" borderId="7" xfId="0" applyNumberFormat="1" applyFont="1" applyFill="1" applyBorder="1" applyAlignment="1">
      <alignment horizontal="right"/>
    </xf>
    <xf numFmtId="165" fontId="13" fillId="0" borderId="15" xfId="0" applyNumberFormat="1" applyFont="1" applyFill="1" applyBorder="1"/>
    <xf numFmtId="0" fontId="45" fillId="9" borderId="42" xfId="25" applyNumberFormat="1" applyFont="1" applyFill="1" applyBorder="1" applyAlignment="1" applyProtection="1">
      <alignment horizontal="left"/>
      <protection locked="0"/>
    </xf>
    <xf numFmtId="165" fontId="21" fillId="0" borderId="0" xfId="23" applyNumberFormat="1" applyFont="1" applyFill="1" applyBorder="1" applyAlignment="1" applyProtection="1">
      <alignment horizontal="left" vertical="top"/>
      <protection locked="0"/>
    </xf>
    <xf numFmtId="164" fontId="21" fillId="0" borderId="0" xfId="10" applyFont="1" applyBorder="1" applyAlignment="1" applyProtection="1">
      <alignment horizontal="left" vertical="top"/>
      <protection locked="0"/>
    </xf>
    <xf numFmtId="3" fontId="21" fillId="0" borderId="55" xfId="6" applyFont="1" applyFill="1" applyBorder="1"/>
    <xf numFmtId="37" fontId="25" fillId="0" borderId="56" xfId="6" applyNumberFormat="1" applyFont="1" applyFill="1" applyBorder="1" applyAlignment="1" applyProtection="1">
      <alignment horizontal="center"/>
    </xf>
    <xf numFmtId="3" fontId="20" fillId="0" borderId="21" xfId="6" applyFont="1" applyFill="1" applyBorder="1" applyAlignment="1">
      <alignment horizontal="centerContinuous"/>
    </xf>
    <xf numFmtId="165" fontId="25" fillId="0" borderId="14" xfId="23" applyNumberFormat="1" applyFont="1" applyFill="1" applyBorder="1" applyAlignment="1" applyProtection="1">
      <alignment horizontal="centerContinuous"/>
    </xf>
    <xf numFmtId="37" fontId="25" fillId="0" borderId="57" xfId="6" applyNumberFormat="1" applyFont="1" applyFill="1" applyBorder="1" applyAlignment="1" applyProtection="1">
      <alignment horizontal="centerContinuous"/>
    </xf>
    <xf numFmtId="49" fontId="21" fillId="13" borderId="15" xfId="10" applyNumberFormat="1" applyFont="1" applyFill="1" applyBorder="1" applyAlignment="1" applyProtection="1">
      <alignment horizontal="left" vertical="top"/>
      <protection locked="0"/>
    </xf>
    <xf numFmtId="49" fontId="21" fillId="13" borderId="0" xfId="10" applyNumberFormat="1" applyFont="1" applyFill="1" applyBorder="1" applyAlignment="1" applyProtection="1">
      <alignment horizontal="left" vertical="top"/>
      <protection locked="0"/>
    </xf>
    <xf numFmtId="49" fontId="13" fillId="14" borderId="0" xfId="23" applyNumberFormat="1" applyFont="1" applyFill="1" applyBorder="1" applyAlignment="1" applyProtection="1">
      <alignment horizontal="left"/>
      <protection locked="0"/>
    </xf>
    <xf numFmtId="1" fontId="13" fillId="14" borderId="0" xfId="27" applyNumberFormat="1" applyFont="1" applyFill="1" applyBorder="1" applyAlignment="1" applyProtection="1">
      <alignment horizontal="center"/>
      <protection locked="0"/>
    </xf>
    <xf numFmtId="49" fontId="13" fillId="14" borderId="0" xfId="23" applyNumberFormat="1" applyFont="1" applyFill="1" applyBorder="1" applyAlignment="1" applyProtection="1">
      <alignment horizontal="center"/>
      <protection locked="0"/>
    </xf>
    <xf numFmtId="165" fontId="13" fillId="14" borderId="49" xfId="23" applyNumberFormat="1" applyFont="1" applyFill="1" applyBorder="1" applyAlignment="1" applyProtection="1">
      <alignment horizontal="center"/>
      <protection locked="0"/>
    </xf>
    <xf numFmtId="165" fontId="21" fillId="14" borderId="0" xfId="23" applyNumberFormat="1" applyFont="1" applyFill="1" applyBorder="1" applyAlignment="1" applyProtection="1">
      <alignment horizontal="center"/>
      <protection locked="0"/>
    </xf>
    <xf numFmtId="3" fontId="13" fillId="14" borderId="37" xfId="23" applyNumberFormat="1" applyFont="1" applyFill="1" applyBorder="1" applyAlignment="1" applyProtection="1">
      <alignment horizontal="right"/>
      <protection locked="0"/>
    </xf>
    <xf numFmtId="3" fontId="21" fillId="14" borderId="0" xfId="23" applyNumberFormat="1" applyFont="1" applyFill="1" applyBorder="1" applyAlignment="1" applyProtection="1">
      <alignment horizontal="right"/>
      <protection locked="0"/>
    </xf>
    <xf numFmtId="3" fontId="13" fillId="14" borderId="49" xfId="23" applyNumberFormat="1" applyFont="1" applyFill="1" applyBorder="1" applyAlignment="1" applyProtection="1">
      <alignment horizontal="right"/>
      <protection locked="0"/>
    </xf>
    <xf numFmtId="49" fontId="46" fillId="2" borderId="0" xfId="24" applyNumberFormat="1" applyFont="1" applyFill="1" applyBorder="1" applyAlignment="1" applyProtection="1">
      <alignment horizontal="left"/>
      <protection locked="0"/>
    </xf>
    <xf numFmtId="164" fontId="13" fillId="2" borderId="0" xfId="24" applyFont="1" applyFill="1" applyBorder="1" applyAlignment="1" applyProtection="1">
      <protection locked="0"/>
    </xf>
    <xf numFmtId="1" fontId="13" fillId="2" borderId="0" xfId="24" applyNumberFormat="1" applyFont="1" applyFill="1" applyBorder="1" applyAlignment="1" applyProtection="1">
      <alignment horizontal="center"/>
      <protection locked="0"/>
    </xf>
    <xf numFmtId="49" fontId="47" fillId="2" borderId="0" xfId="24" applyNumberFormat="1" applyFont="1" applyFill="1" applyBorder="1" applyAlignment="1" applyProtection="1">
      <alignment horizontal="left"/>
      <protection locked="0"/>
    </xf>
    <xf numFmtId="1" fontId="35" fillId="2" borderId="0" xfId="24" applyNumberFormat="1" applyFont="1" applyFill="1" applyBorder="1" applyAlignment="1" applyProtection="1">
      <alignment horizontal="center"/>
      <protection locked="0"/>
    </xf>
    <xf numFmtId="49" fontId="13" fillId="15" borderId="0" xfId="23" applyNumberFormat="1" applyFont="1" applyFill="1" applyBorder="1" applyAlignment="1" applyProtection="1">
      <alignment horizontal="center"/>
      <protection locked="0"/>
    </xf>
    <xf numFmtId="49" fontId="13" fillId="15" borderId="0" xfId="23" applyNumberFormat="1" applyFont="1" applyFill="1" applyBorder="1" applyAlignment="1" applyProtection="1">
      <alignment horizontal="left"/>
      <protection locked="0"/>
    </xf>
    <xf numFmtId="49" fontId="46" fillId="15" borderId="0" xfId="24" applyNumberFormat="1" applyFont="1" applyFill="1" applyBorder="1" applyAlignment="1" applyProtection="1">
      <alignment horizontal="left"/>
      <protection locked="0"/>
    </xf>
    <xf numFmtId="1" fontId="13" fillId="15" borderId="0" xfId="27" applyNumberFormat="1" applyFont="1" applyFill="1" applyBorder="1" applyAlignment="1" applyProtection="1">
      <alignment horizontal="center"/>
      <protection locked="0"/>
    </xf>
    <xf numFmtId="0" fontId="13" fillId="15" borderId="0" xfId="24" applyNumberFormat="1" applyFont="1" applyFill="1" applyBorder="1" applyAlignment="1" applyProtection="1">
      <alignment horizontal="center"/>
      <protection locked="0"/>
    </xf>
    <xf numFmtId="3" fontId="21" fillId="0" borderId="0" xfId="23" applyNumberFormat="1" applyFont="1" applyFill="1" applyBorder="1" applyAlignment="1" applyProtection="1">
      <alignment horizontal="right" vertical="center"/>
      <protection locked="0"/>
    </xf>
    <xf numFmtId="3" fontId="13" fillId="16" borderId="37" xfId="23" applyNumberFormat="1" applyFont="1" applyFill="1" applyBorder="1" applyAlignment="1" applyProtection="1">
      <alignment horizontal="right"/>
      <protection locked="0"/>
    </xf>
    <xf numFmtId="3" fontId="13" fillId="15" borderId="0" xfId="5" applyFont="1" applyFill="1" applyBorder="1" applyAlignment="1" applyProtection="1">
      <protection locked="0"/>
    </xf>
    <xf numFmtId="0" fontId="13" fillId="15" borderId="0" xfId="23" applyNumberFormat="1" applyFont="1" applyFill="1" applyBorder="1" applyAlignment="1" applyProtection="1">
      <alignment horizontal="center"/>
      <protection locked="0"/>
    </xf>
    <xf numFmtId="49" fontId="13" fillId="15" borderId="0" xfId="24" applyNumberFormat="1" applyFont="1" applyFill="1" applyBorder="1" applyAlignment="1" applyProtection="1">
      <alignment horizontal="left"/>
      <protection locked="0"/>
    </xf>
    <xf numFmtId="49" fontId="13" fillId="16" borderId="0" xfId="24" applyNumberFormat="1" applyFont="1" applyFill="1" applyBorder="1" applyAlignment="1" applyProtection="1">
      <alignment horizontal="left"/>
      <protection locked="0"/>
    </xf>
    <xf numFmtId="49" fontId="13" fillId="17" borderId="0" xfId="23" applyNumberFormat="1" applyFont="1" applyFill="1" applyBorder="1" applyAlignment="1" applyProtection="1">
      <alignment horizontal="center"/>
      <protection locked="0"/>
    </xf>
    <xf numFmtId="49" fontId="13" fillId="17" borderId="0" xfId="23" applyNumberFormat="1" applyFont="1" applyFill="1" applyBorder="1" applyAlignment="1" applyProtection="1">
      <protection locked="0"/>
    </xf>
    <xf numFmtId="49" fontId="13" fillId="17" borderId="0" xfId="24" applyNumberFormat="1" applyFont="1" applyFill="1" applyBorder="1" applyAlignment="1" applyProtection="1">
      <alignment horizontal="left"/>
      <protection locked="0"/>
    </xf>
    <xf numFmtId="49" fontId="46" fillId="17" borderId="0" xfId="24" applyNumberFormat="1" applyFont="1" applyFill="1" applyBorder="1" applyAlignment="1" applyProtection="1">
      <alignment horizontal="left"/>
      <protection locked="0"/>
    </xf>
    <xf numFmtId="49" fontId="13" fillId="17" borderId="0" xfId="23" applyNumberFormat="1" applyFont="1" applyFill="1" applyBorder="1" applyAlignment="1" applyProtection="1">
      <alignment horizontal="left"/>
      <protection locked="0"/>
    </xf>
    <xf numFmtId="49" fontId="11" fillId="17" borderId="0" xfId="23" applyNumberFormat="1" applyFont="1" applyFill="1" applyBorder="1" applyAlignment="1" applyProtection="1">
      <alignment horizontal="left"/>
      <protection locked="0"/>
    </xf>
    <xf numFmtId="49" fontId="13" fillId="3" borderId="0" xfId="23" applyNumberFormat="1" applyFont="1" applyFill="1" applyBorder="1" applyAlignment="1" applyProtection="1">
      <alignment horizontal="center"/>
      <protection locked="0"/>
    </xf>
    <xf numFmtId="49" fontId="13" fillId="3" borderId="0" xfId="24" applyNumberFormat="1" applyFont="1" applyFill="1" applyBorder="1" applyAlignment="1" applyProtection="1">
      <alignment horizontal="left"/>
      <protection locked="0"/>
    </xf>
    <xf numFmtId="49" fontId="13" fillId="3" borderId="0" xfId="23" applyNumberFormat="1" applyFont="1" applyFill="1" applyBorder="1" applyAlignment="1" applyProtection="1">
      <alignment horizontal="left"/>
      <protection locked="0"/>
    </xf>
    <xf numFmtId="49" fontId="13" fillId="18" borderId="0" xfId="23" applyNumberFormat="1" applyFont="1" applyFill="1" applyBorder="1" applyAlignment="1" applyProtection="1">
      <alignment horizontal="center"/>
      <protection locked="0"/>
    </xf>
    <xf numFmtId="49" fontId="13" fillId="18" borderId="0" xfId="23" applyNumberFormat="1" applyFont="1" applyFill="1" applyBorder="1" applyAlignment="1" applyProtection="1">
      <alignment horizontal="left"/>
      <protection locked="0"/>
    </xf>
    <xf numFmtId="49" fontId="46" fillId="18" borderId="0" xfId="24" applyNumberFormat="1" applyFont="1" applyFill="1" applyBorder="1" applyAlignment="1" applyProtection="1">
      <alignment horizontal="left"/>
      <protection locked="0"/>
    </xf>
    <xf numFmtId="49" fontId="13" fillId="18" borderId="0" xfId="24" applyNumberFormat="1" applyFont="1" applyFill="1" applyBorder="1" applyAlignment="1" applyProtection="1">
      <alignment horizontal="left"/>
      <protection locked="0"/>
    </xf>
    <xf numFmtId="164" fontId="13" fillId="18" borderId="0" xfId="24" applyFont="1" applyFill="1" applyBorder="1" applyAlignment="1" applyProtection="1">
      <protection locked="0"/>
    </xf>
    <xf numFmtId="1" fontId="13" fillId="19" borderId="0" xfId="30" applyNumberFormat="1" applyFont="1" applyFill="1" applyBorder="1" applyAlignment="1" applyProtection="1">
      <alignment horizontal="center"/>
      <protection locked="0"/>
    </xf>
    <xf numFmtId="49" fontId="13" fillId="18" borderId="0" xfId="23" applyNumberFormat="1" applyFont="1" applyFill="1" applyBorder="1" applyAlignment="1" applyProtection="1">
      <protection locked="0"/>
    </xf>
    <xf numFmtId="49" fontId="13" fillId="19" borderId="0" xfId="23" applyNumberFormat="1" applyFont="1" applyFill="1" applyBorder="1" applyAlignment="1" applyProtection="1">
      <alignment horizontal="center"/>
      <protection locked="0"/>
    </xf>
    <xf numFmtId="49" fontId="13" fillId="18" borderId="15" xfId="23" applyNumberFormat="1" applyFont="1" applyFill="1" applyBorder="1" applyAlignment="1" applyProtection="1">
      <alignment horizontal="center"/>
      <protection locked="0"/>
    </xf>
    <xf numFmtId="49" fontId="13" fillId="15" borderId="0" xfId="31" applyNumberFormat="1" applyFont="1" applyFill="1" applyBorder="1" applyAlignment="1" applyProtection="1">
      <alignment horizontal="center"/>
      <protection locked="0"/>
    </xf>
    <xf numFmtId="49" fontId="13" fillId="15" borderId="0" xfId="31" applyNumberFormat="1" applyFont="1" applyFill="1" applyBorder="1" applyAlignment="1" applyProtection="1">
      <alignment horizontal="left"/>
      <protection locked="0"/>
    </xf>
    <xf numFmtId="49" fontId="46" fillId="20" borderId="0" xfId="32" applyNumberFormat="1" applyFont="1" applyFill="1" applyBorder="1" applyAlignment="1" applyProtection="1">
      <alignment horizontal="left"/>
      <protection locked="0"/>
    </xf>
    <xf numFmtId="1" fontId="13" fillId="15" borderId="0" xfId="31" applyNumberFormat="1" applyFont="1" applyFill="1" applyBorder="1" applyAlignment="1" applyProtection="1">
      <alignment horizontal="center"/>
      <protection locked="0"/>
    </xf>
    <xf numFmtId="1" fontId="13" fillId="15" borderId="0" xfId="33" applyNumberFormat="1" applyFont="1" applyFill="1" applyBorder="1" applyAlignment="1" applyProtection="1">
      <alignment horizontal="center"/>
      <protection locked="0"/>
    </xf>
    <xf numFmtId="49" fontId="13" fillId="15" borderId="15" xfId="5" applyNumberFormat="1" applyFont="1" applyFill="1" applyBorder="1" applyAlignment="1" applyProtection="1">
      <alignment horizontal="center"/>
      <protection locked="0"/>
    </xf>
    <xf numFmtId="49" fontId="13" fillId="20" borderId="0" xfId="32" applyNumberFormat="1" applyFont="1" applyFill="1" applyBorder="1" applyAlignment="1" applyProtection="1">
      <alignment horizontal="left"/>
      <protection locked="0"/>
    </xf>
    <xf numFmtId="1" fontId="13" fillId="15" borderId="0" xfId="5" applyNumberFormat="1" applyFont="1" applyFill="1" applyBorder="1" applyAlignment="1" applyProtection="1">
      <alignment horizontal="center"/>
      <protection locked="0"/>
    </xf>
    <xf numFmtId="1" fontId="13" fillId="15" borderId="0" xfId="24" applyNumberFormat="1" applyFont="1" applyFill="1" applyBorder="1" applyAlignment="1" applyProtection="1">
      <alignment horizontal="center"/>
      <protection locked="0"/>
    </xf>
    <xf numFmtId="49" fontId="13" fillId="15" borderId="15" xfId="31" applyNumberFormat="1" applyFont="1" applyFill="1" applyBorder="1" applyAlignment="1" applyProtection="1">
      <alignment horizontal="center"/>
      <protection locked="0"/>
    </xf>
    <xf numFmtId="49" fontId="13" fillId="15" borderId="0" xfId="32" applyNumberFormat="1" applyFont="1" applyFill="1" applyBorder="1" applyAlignment="1" applyProtection="1">
      <alignment horizontal="left"/>
      <protection locked="0"/>
    </xf>
    <xf numFmtId="49" fontId="21" fillId="16" borderId="0" xfId="31" applyNumberFormat="1" applyFont="1" applyFill="1" applyBorder="1" applyAlignment="1" applyProtection="1">
      <alignment horizontal="left"/>
      <protection locked="0"/>
    </xf>
    <xf numFmtId="49" fontId="47" fillId="16" borderId="0" xfId="32" applyNumberFormat="1" applyFont="1" applyFill="1" applyBorder="1" applyAlignment="1" applyProtection="1">
      <alignment horizontal="left"/>
      <protection locked="0"/>
    </xf>
    <xf numFmtId="49" fontId="21" fillId="16" borderId="15" xfId="31" applyNumberFormat="1" applyFont="1" applyFill="1" applyBorder="1" applyAlignment="1" applyProtection="1">
      <alignment horizontal="center"/>
      <protection locked="0"/>
    </xf>
    <xf numFmtId="49" fontId="21" fillId="16" borderId="0" xfId="32" applyNumberFormat="1" applyFont="1" applyFill="1" applyBorder="1" applyAlignment="1" applyProtection="1">
      <alignment horizontal="left"/>
      <protection locked="0"/>
    </xf>
    <xf numFmtId="1" fontId="21" fillId="16" borderId="0" xfId="31" applyNumberFormat="1" applyFont="1" applyFill="1" applyBorder="1" applyAlignment="1" applyProtection="1">
      <alignment horizontal="center"/>
      <protection locked="0"/>
    </xf>
    <xf numFmtId="49" fontId="46" fillId="2" borderId="0" xfId="32" applyNumberFormat="1" applyFont="1" applyFill="1" applyBorder="1" applyAlignment="1" applyProtection="1">
      <alignment horizontal="left"/>
      <protection locked="0"/>
    </xf>
    <xf numFmtId="49" fontId="13" fillId="2" borderId="0" xfId="32" applyNumberFormat="1" applyFont="1" applyFill="1" applyBorder="1" applyAlignment="1" applyProtection="1">
      <alignment horizontal="left"/>
      <protection locked="0"/>
    </xf>
    <xf numFmtId="49" fontId="13" fillId="21" borderId="0" xfId="23" applyNumberFormat="1" applyFont="1" applyFill="1" applyBorder="1" applyAlignment="1" applyProtection="1">
      <alignment horizontal="center"/>
      <protection locked="0"/>
    </xf>
    <xf numFmtId="49" fontId="13" fillId="21" borderId="0" xfId="23" applyNumberFormat="1" applyFont="1" applyFill="1" applyBorder="1" applyAlignment="1" applyProtection="1">
      <alignment horizontal="left"/>
      <protection locked="0"/>
    </xf>
    <xf numFmtId="165" fontId="35" fillId="10" borderId="49" xfId="23" applyNumberFormat="1" applyFont="1" applyFill="1" applyBorder="1" applyAlignment="1" applyProtection="1">
      <alignment horizontal="center"/>
      <protection locked="0"/>
    </xf>
    <xf numFmtId="165" fontId="35" fillId="0" borderId="0" xfId="23" applyNumberFormat="1" applyFont="1" applyFill="1" applyBorder="1" applyAlignment="1" applyProtection="1">
      <alignment horizontal="center"/>
      <protection locked="0"/>
    </xf>
    <xf numFmtId="1" fontId="13" fillId="0" borderId="0" xfId="5" applyNumberFormat="1" applyFont="1" applyFill="1" applyBorder="1" applyAlignment="1"/>
    <xf numFmtId="49" fontId="46" fillId="21" borderId="0" xfId="32" applyNumberFormat="1" applyFont="1" applyFill="1" applyBorder="1" applyAlignment="1" applyProtection="1">
      <alignment horizontal="left"/>
      <protection locked="0"/>
    </xf>
    <xf numFmtId="49" fontId="13" fillId="21" borderId="15" xfId="23" applyNumberFormat="1" applyFont="1" applyFill="1" applyBorder="1" applyAlignment="1" applyProtection="1">
      <alignment horizontal="center"/>
      <protection locked="0"/>
    </xf>
    <xf numFmtId="49" fontId="13" fillId="21" borderId="0" xfId="32" applyNumberFormat="1" applyFont="1" applyFill="1" applyBorder="1" applyAlignment="1" applyProtection="1">
      <alignment horizontal="left"/>
      <protection locked="0"/>
    </xf>
    <xf numFmtId="3" fontId="13" fillId="21" borderId="0" xfId="5" applyFont="1" applyFill="1" applyBorder="1" applyAlignment="1" applyProtection="1">
      <protection locked="0"/>
    </xf>
    <xf numFmtId="3" fontId="13" fillId="21" borderId="0" xfId="5" applyFont="1" applyFill="1" applyBorder="1" applyAlignment="1" applyProtection="1">
      <alignment horizontal="center"/>
      <protection locked="0"/>
    </xf>
    <xf numFmtId="49" fontId="13" fillId="21" borderId="0" xfId="5" applyNumberFormat="1" applyFont="1" applyFill="1" applyBorder="1" applyAlignment="1" applyProtection="1">
      <alignment horizontal="left"/>
      <protection locked="0"/>
    </xf>
    <xf numFmtId="49" fontId="13" fillId="22" borderId="0" xfId="23" applyNumberFormat="1" applyFont="1" applyFill="1" applyBorder="1" applyAlignment="1" applyProtection="1">
      <alignment horizontal="center"/>
      <protection locked="0"/>
    </xf>
    <xf numFmtId="49" fontId="13" fillId="23" borderId="15" xfId="31" applyNumberFormat="1" applyFont="1" applyFill="1" applyBorder="1" applyAlignment="1" applyProtection="1">
      <alignment horizontal="center"/>
      <protection locked="0"/>
    </xf>
    <xf numFmtId="49" fontId="13" fillId="23" borderId="0" xfId="32" applyNumberFormat="1" applyFont="1" applyFill="1" applyBorder="1" applyAlignment="1" applyProtection="1">
      <alignment horizontal="left"/>
      <protection locked="0"/>
    </xf>
    <xf numFmtId="1" fontId="13" fillId="21" borderId="0" xfId="5" applyNumberFormat="1" applyFont="1" applyFill="1" applyBorder="1" applyAlignment="1" applyProtection="1">
      <alignment horizontal="center"/>
      <protection locked="0"/>
    </xf>
    <xf numFmtId="1" fontId="13" fillId="23" borderId="0" xfId="33" applyNumberFormat="1" applyFont="1" applyFill="1" applyBorder="1" applyAlignment="1" applyProtection="1">
      <alignment horizontal="center"/>
      <protection locked="0"/>
    </xf>
    <xf numFmtId="0" fontId="13" fillId="0" borderId="0" xfId="29" applyNumberFormat="1" applyBorder="1"/>
    <xf numFmtId="0" fontId="13" fillId="0" borderId="33" xfId="29" applyNumberFormat="1" applyBorder="1"/>
    <xf numFmtId="3" fontId="21" fillId="0" borderId="33" xfId="23" applyNumberFormat="1" applyFont="1" applyFill="1" applyBorder="1" applyAlignment="1" applyProtection="1">
      <alignment horizontal="right"/>
      <protection locked="0"/>
    </xf>
    <xf numFmtId="49" fontId="46" fillId="3" borderId="0" xfId="24" applyNumberFormat="1" applyFont="1" applyFill="1" applyBorder="1" applyAlignment="1" applyProtection="1">
      <alignment horizontal="left"/>
      <protection locked="0"/>
    </xf>
    <xf numFmtId="49" fontId="47" fillId="18" borderId="0" xfId="24" applyNumberFormat="1" applyFont="1" applyFill="1" applyBorder="1" applyAlignment="1" applyProtection="1">
      <alignment horizontal="left"/>
      <protection locked="0"/>
    </xf>
    <xf numFmtId="1" fontId="35" fillId="18" borderId="0" xfId="24" applyNumberFormat="1" applyFont="1" applyFill="1" applyBorder="1" applyAlignment="1" applyProtection="1">
      <alignment horizontal="center"/>
      <protection locked="0"/>
    </xf>
    <xf numFmtId="49" fontId="47" fillId="21" borderId="0" xfId="32" applyNumberFormat="1" applyFont="1" applyFill="1" applyBorder="1" applyAlignment="1" applyProtection="1">
      <alignment horizontal="left"/>
      <protection locked="0"/>
    </xf>
    <xf numFmtId="1" fontId="35" fillId="21" borderId="0" xfId="24" applyNumberFormat="1" applyFont="1" applyFill="1" applyBorder="1" applyAlignment="1" applyProtection="1">
      <alignment horizontal="center"/>
      <protection locked="0"/>
    </xf>
    <xf numFmtId="49" fontId="47" fillId="20" borderId="0" xfId="32" applyNumberFormat="1" applyFont="1" applyFill="1" applyBorder="1" applyAlignment="1" applyProtection="1">
      <alignment horizontal="left"/>
      <protection locked="0"/>
    </xf>
    <xf numFmtId="1" fontId="35" fillId="15" borderId="0" xfId="24" applyNumberFormat="1" applyFont="1" applyFill="1" applyBorder="1" applyAlignment="1" applyProtection="1">
      <alignment horizontal="center"/>
      <protection locked="0"/>
    </xf>
    <xf numFmtId="49" fontId="47" fillId="17" borderId="0" xfId="23" applyNumberFormat="1" applyFont="1" applyFill="1" applyBorder="1" applyAlignment="1" applyProtection="1">
      <alignment horizontal="left"/>
      <protection locked="0"/>
    </xf>
    <xf numFmtId="1" fontId="35" fillId="17" borderId="0" xfId="24" applyNumberFormat="1" applyFont="1" applyFill="1" applyBorder="1" applyAlignment="1" applyProtection="1">
      <alignment horizontal="center"/>
      <protection locked="0"/>
    </xf>
    <xf numFmtId="49" fontId="47" fillId="18" borderId="0" xfId="24" applyNumberFormat="1" applyFont="1" applyFill="1" applyBorder="1" applyAlignment="1" applyProtection="1">
      <alignment horizontal="center"/>
      <protection locked="0"/>
    </xf>
    <xf numFmtId="49" fontId="47" fillId="2" borderId="0" xfId="32" applyNumberFormat="1" applyFont="1" applyFill="1" applyBorder="1" applyAlignment="1" applyProtection="1">
      <alignment horizontal="left"/>
      <protection locked="0"/>
    </xf>
    <xf numFmtId="49" fontId="13" fillId="3" borderId="15" xfId="23" applyNumberFormat="1" applyFont="1" applyFill="1" applyBorder="1" applyAlignment="1" applyProtection="1">
      <alignment horizontal="center"/>
      <protection locked="0"/>
    </xf>
    <xf numFmtId="49" fontId="13" fillId="24" borderId="15" xfId="23" applyNumberFormat="1" applyFont="1" applyFill="1" applyBorder="1" applyAlignment="1" applyProtection="1">
      <alignment horizontal="center"/>
      <protection locked="0"/>
    </xf>
    <xf numFmtId="49" fontId="13" fillId="24" borderId="0" xfId="23" applyNumberFormat="1" applyFont="1" applyFill="1" applyBorder="1" applyAlignment="1" applyProtection="1">
      <alignment horizontal="left"/>
      <protection locked="0"/>
    </xf>
    <xf numFmtId="49" fontId="46" fillId="24" borderId="0" xfId="32" applyNumberFormat="1" applyFont="1" applyFill="1" applyBorder="1" applyAlignment="1" applyProtection="1">
      <alignment horizontal="left"/>
      <protection locked="0"/>
    </xf>
    <xf numFmtId="49" fontId="13" fillId="24" borderId="0" xfId="23" applyNumberFormat="1" applyFont="1" applyFill="1" applyBorder="1" applyAlignment="1" applyProtection="1">
      <alignment horizontal="center"/>
      <protection locked="0"/>
    </xf>
    <xf numFmtId="49" fontId="13" fillId="24" borderId="0" xfId="32" applyNumberFormat="1" applyFont="1" applyFill="1" applyBorder="1" applyAlignment="1" applyProtection="1">
      <alignment horizontal="left"/>
      <protection locked="0"/>
    </xf>
    <xf numFmtId="49" fontId="13" fillId="2" borderId="15" xfId="23" applyNumberFormat="1" applyFont="1" applyFill="1" applyBorder="1" applyAlignment="1" applyProtection="1">
      <alignment horizontal="center"/>
      <protection locked="0"/>
    </xf>
    <xf numFmtId="49" fontId="13" fillId="2" borderId="0" xfId="23" applyNumberFormat="1" applyFont="1" applyFill="1" applyBorder="1" applyProtection="1">
      <protection locked="0"/>
    </xf>
    <xf numFmtId="49" fontId="50" fillId="2" borderId="0" xfId="23" applyNumberFormat="1" applyFont="1" applyFill="1" applyBorder="1" applyProtection="1">
      <protection locked="0"/>
    </xf>
    <xf numFmtId="49" fontId="50" fillId="2" borderId="0" xfId="23" applyNumberFormat="1" applyFont="1" applyFill="1" applyBorder="1" applyAlignment="1" applyProtection="1">
      <alignment horizontal="left"/>
      <protection locked="0"/>
    </xf>
    <xf numFmtId="3" fontId="13" fillId="10" borderId="15" xfId="23" applyNumberFormat="1" applyFont="1" applyFill="1" applyBorder="1" applyAlignment="1" applyProtection="1">
      <alignment horizontal="right"/>
      <protection locked="0"/>
    </xf>
    <xf numFmtId="3" fontId="21" fillId="0" borderId="37" xfId="23" applyNumberFormat="1" applyFont="1" applyFill="1" applyBorder="1" applyAlignment="1" applyProtection="1">
      <alignment horizontal="right"/>
      <protection locked="0"/>
    </xf>
    <xf numFmtId="49" fontId="46" fillId="2" borderId="0" xfId="23" applyNumberFormat="1" applyFont="1" applyFill="1" applyBorder="1" applyAlignment="1" applyProtection="1">
      <alignment horizontal="left"/>
      <protection locked="0"/>
    </xf>
    <xf numFmtId="49" fontId="13" fillId="2" borderId="0" xfId="34" applyNumberFormat="1" applyFont="1" applyFill="1" applyBorder="1" applyAlignment="1" applyProtection="1">
      <alignment horizontal="center"/>
      <protection locked="0"/>
    </xf>
    <xf numFmtId="49" fontId="46" fillId="3" borderId="0" xfId="32" applyNumberFormat="1" applyFont="1" applyFill="1" applyBorder="1" applyAlignment="1" applyProtection="1">
      <alignment horizontal="left"/>
      <protection locked="0"/>
    </xf>
    <xf numFmtId="49" fontId="13" fillId="3" borderId="0" xfId="32" applyNumberFormat="1" applyFont="1" applyFill="1" applyBorder="1" applyAlignment="1" applyProtection="1">
      <alignment horizontal="left"/>
      <protection locked="0"/>
    </xf>
    <xf numFmtId="1" fontId="13" fillId="3" borderId="0" xfId="24" applyNumberFormat="1" applyFont="1" applyFill="1" applyBorder="1" applyAlignment="1" applyProtection="1">
      <alignment horizontal="center"/>
      <protection locked="0"/>
    </xf>
    <xf numFmtId="49" fontId="46" fillId="3" borderId="0" xfId="23" applyNumberFormat="1" applyFont="1" applyFill="1" applyBorder="1" applyAlignment="1" applyProtection="1">
      <alignment horizontal="left"/>
      <protection locked="0"/>
    </xf>
    <xf numFmtId="49" fontId="13" fillId="3" borderId="0" xfId="23" applyNumberFormat="1" applyFont="1" applyFill="1" applyBorder="1" applyAlignment="1" applyProtection="1">
      <protection locked="0"/>
    </xf>
    <xf numFmtId="49" fontId="46" fillId="3" borderId="0" xfId="23" applyNumberFormat="1" applyFont="1" applyFill="1" applyBorder="1" applyAlignment="1" applyProtection="1">
      <protection locked="0"/>
    </xf>
    <xf numFmtId="49" fontId="13" fillId="26" borderId="0" xfId="23" applyNumberFormat="1" applyFont="1" applyFill="1" applyBorder="1" applyAlignment="1" applyProtection="1">
      <alignment horizontal="center"/>
      <protection locked="0"/>
    </xf>
    <xf numFmtId="49" fontId="13" fillId="27" borderId="0" xfId="23" applyNumberFormat="1" applyFont="1" applyFill="1" applyBorder="1" applyAlignment="1" applyProtection="1">
      <protection locked="0"/>
    </xf>
    <xf numFmtId="49" fontId="46" fillId="27" borderId="0" xfId="23" applyNumberFormat="1" applyFont="1" applyFill="1" applyBorder="1" applyAlignment="1" applyProtection="1">
      <protection locked="0"/>
    </xf>
    <xf numFmtId="3" fontId="13" fillId="3" borderId="0" xfId="5" applyFont="1" applyFill="1" applyBorder="1" applyAlignment="1" applyProtection="1">
      <protection locked="0"/>
    </xf>
    <xf numFmtId="3" fontId="46" fillId="3" borderId="0" xfId="5" applyFont="1" applyFill="1" applyBorder="1" applyAlignment="1" applyProtection="1">
      <protection locked="0"/>
    </xf>
    <xf numFmtId="49" fontId="13" fillId="28" borderId="0" xfId="23" applyNumberFormat="1" applyFont="1" applyFill="1" applyBorder="1" applyAlignment="1" applyProtection="1">
      <protection locked="0"/>
    </xf>
    <xf numFmtId="49" fontId="46" fillId="28" borderId="0" xfId="23" applyNumberFormat="1" applyFont="1" applyFill="1" applyBorder="1" applyAlignment="1" applyProtection="1">
      <protection locked="0"/>
    </xf>
    <xf numFmtId="49" fontId="13" fillId="25" borderId="0" xfId="23" applyNumberFormat="1" applyFont="1" applyFill="1" applyBorder="1" applyAlignment="1" applyProtection="1">
      <protection locked="0"/>
    </xf>
    <xf numFmtId="49" fontId="46" fillId="25" borderId="0" xfId="23" applyNumberFormat="1" applyFont="1" applyFill="1" applyBorder="1" applyAlignment="1" applyProtection="1">
      <protection locked="0"/>
    </xf>
    <xf numFmtId="49" fontId="13" fillId="29" borderId="0" xfId="23" applyNumberFormat="1" applyFont="1" applyFill="1" applyBorder="1" applyAlignment="1" applyProtection="1">
      <protection locked="0"/>
    </xf>
    <xf numFmtId="49" fontId="46" fillId="29" borderId="0" xfId="23" applyNumberFormat="1" applyFont="1" applyFill="1" applyBorder="1" applyAlignment="1" applyProtection="1">
      <protection locked="0"/>
    </xf>
    <xf numFmtId="49" fontId="46" fillId="3" borderId="0" xfId="5" applyNumberFormat="1" applyFont="1" applyFill="1" applyBorder="1" applyAlignment="1" applyProtection="1">
      <alignment horizontal="left"/>
      <protection locked="0"/>
    </xf>
    <xf numFmtId="49" fontId="13" fillId="30" borderId="0" xfId="23" applyNumberFormat="1" applyFont="1" applyFill="1" applyBorder="1" applyAlignment="1" applyProtection="1">
      <protection locked="0"/>
    </xf>
    <xf numFmtId="49" fontId="46" fillId="30" borderId="0" xfId="23" applyNumberFormat="1" applyFont="1" applyFill="1" applyBorder="1" applyAlignment="1" applyProtection="1">
      <protection locked="0"/>
    </xf>
    <xf numFmtId="49" fontId="13" fillId="31" borderId="0" xfId="23" applyNumberFormat="1" applyFont="1" applyFill="1" applyBorder="1" applyAlignment="1" applyProtection="1">
      <protection locked="0"/>
    </xf>
    <xf numFmtId="49" fontId="46" fillId="31" borderId="0" xfId="23" applyNumberFormat="1" applyFont="1" applyFill="1" applyBorder="1" applyAlignment="1" applyProtection="1">
      <protection locked="0"/>
    </xf>
    <xf numFmtId="49" fontId="13" fillId="16" borderId="0" xfId="23" applyNumberFormat="1" applyFont="1" applyFill="1" applyBorder="1" applyAlignment="1" applyProtection="1">
      <alignment horizontal="center"/>
      <protection locked="0"/>
    </xf>
    <xf numFmtId="165" fontId="13" fillId="28" borderId="15" xfId="23" applyNumberFormat="1" applyFont="1" applyFill="1" applyBorder="1" applyAlignment="1" applyProtection="1">
      <alignment horizontal="right"/>
      <protection locked="0"/>
    </xf>
    <xf numFmtId="165" fontId="13" fillId="27" borderId="15" xfId="23" applyNumberFormat="1" applyFont="1" applyFill="1" applyBorder="1" applyAlignment="1" applyProtection="1">
      <alignment horizontal="right"/>
      <protection locked="0"/>
    </xf>
    <xf numFmtId="165" fontId="13" fillId="25" borderId="15" xfId="23" applyNumberFormat="1" applyFont="1" applyFill="1" applyBorder="1" applyAlignment="1" applyProtection="1">
      <alignment horizontal="right"/>
      <protection locked="0"/>
    </xf>
    <xf numFmtId="165" fontId="13" fillId="29" borderId="15" xfId="23" applyNumberFormat="1" applyFont="1" applyFill="1" applyBorder="1" applyAlignment="1" applyProtection="1">
      <alignment horizontal="right"/>
      <protection locked="0"/>
    </xf>
    <xf numFmtId="165" fontId="13" fillId="30" borderId="15" xfId="23" applyNumberFormat="1" applyFont="1" applyFill="1" applyBorder="1" applyAlignment="1" applyProtection="1">
      <alignment horizontal="right"/>
      <protection locked="0"/>
    </xf>
    <xf numFmtId="165" fontId="13" fillId="31" borderId="15" xfId="23" applyNumberFormat="1" applyFont="1" applyFill="1" applyBorder="1" applyAlignment="1" applyProtection="1">
      <alignment horizontal="right"/>
      <protection locked="0"/>
    </xf>
    <xf numFmtId="165" fontId="13" fillId="28" borderId="37" xfId="23" applyNumberFormat="1" applyFont="1" applyFill="1" applyBorder="1" applyAlignment="1" applyProtection="1">
      <alignment horizontal="right"/>
      <protection locked="0"/>
    </xf>
    <xf numFmtId="165" fontId="13" fillId="27" borderId="0" xfId="23" applyNumberFormat="1" applyFont="1" applyFill="1" applyBorder="1" applyAlignment="1" applyProtection="1">
      <alignment horizontal="right"/>
      <protection locked="0"/>
    </xf>
    <xf numFmtId="165" fontId="13" fillId="29" borderId="0" xfId="23" applyNumberFormat="1" applyFont="1" applyFill="1" applyBorder="1" applyAlignment="1" applyProtection="1">
      <alignment horizontal="right"/>
      <protection locked="0"/>
    </xf>
    <xf numFmtId="49" fontId="13" fillId="17" borderId="15" xfId="23" applyNumberFormat="1" applyFont="1" applyFill="1" applyBorder="1" applyAlignment="1" applyProtection="1">
      <alignment horizontal="center"/>
      <protection locked="0"/>
    </xf>
    <xf numFmtId="49" fontId="46" fillId="17" borderId="0" xfId="23" applyNumberFormat="1" applyFont="1" applyFill="1" applyBorder="1" applyAlignment="1" applyProtection="1">
      <alignment horizontal="left"/>
      <protection locked="0"/>
    </xf>
    <xf numFmtId="0" fontId="8" fillId="0" borderId="0" xfId="28" applyFont="1"/>
    <xf numFmtId="49" fontId="13" fillId="17" borderId="0" xfId="32" applyNumberFormat="1" applyFont="1" applyFill="1" applyBorder="1" applyAlignment="1" applyProtection="1">
      <alignment horizontal="left"/>
      <protection locked="0"/>
    </xf>
    <xf numFmtId="49" fontId="46" fillId="17" borderId="0" xfId="32" applyNumberFormat="1" applyFont="1" applyFill="1" applyBorder="1" applyAlignment="1" applyProtection="1">
      <alignment horizontal="left"/>
      <protection locked="0"/>
    </xf>
    <xf numFmtId="1" fontId="13" fillId="17" borderId="0" xfId="24" applyNumberFormat="1" applyFont="1" applyFill="1" applyBorder="1" applyAlignment="1" applyProtection="1">
      <alignment horizontal="center"/>
      <protection locked="0"/>
    </xf>
    <xf numFmtId="0" fontId="8" fillId="0" borderId="0" xfId="3" applyNumberFormat="1" applyFont="1"/>
    <xf numFmtId="0" fontId="13" fillId="24" borderId="0" xfId="24" applyNumberFormat="1" applyFont="1" applyFill="1" applyBorder="1" applyAlignment="1" applyProtection="1">
      <alignment horizontal="center"/>
      <protection locked="0"/>
    </xf>
    <xf numFmtId="49" fontId="13" fillId="24" borderId="0" xfId="23" applyNumberFormat="1" applyFont="1" applyFill="1" applyBorder="1" applyProtection="1">
      <protection locked="0"/>
    </xf>
    <xf numFmtId="164" fontId="13" fillId="24" borderId="0" xfId="32" applyFont="1" applyFill="1" applyBorder="1" applyProtection="1">
      <protection locked="0"/>
    </xf>
    <xf numFmtId="49" fontId="47" fillId="24" borderId="0" xfId="32" applyNumberFormat="1" applyFont="1" applyFill="1" applyBorder="1" applyAlignment="1" applyProtection="1">
      <alignment horizontal="left"/>
      <protection locked="0"/>
    </xf>
    <xf numFmtId="1" fontId="35" fillId="24" borderId="0" xfId="24" applyNumberFormat="1" applyFont="1" applyFill="1" applyBorder="1" applyAlignment="1" applyProtection="1">
      <alignment horizontal="center"/>
      <protection locked="0"/>
    </xf>
    <xf numFmtId="49" fontId="47" fillId="3" borderId="0" xfId="32" applyNumberFormat="1" applyFont="1" applyFill="1" applyBorder="1" applyAlignment="1" applyProtection="1">
      <alignment horizontal="left"/>
      <protection locked="0"/>
    </xf>
    <xf numFmtId="1" fontId="35" fillId="3" borderId="0" xfId="24" applyNumberFormat="1" applyFont="1" applyFill="1" applyBorder="1" applyAlignment="1" applyProtection="1">
      <alignment horizontal="center"/>
      <protection locked="0"/>
    </xf>
    <xf numFmtId="49" fontId="35" fillId="2" borderId="0" xfId="32" applyNumberFormat="1" applyFont="1" applyFill="1" applyBorder="1" applyAlignment="1" applyProtection="1">
      <alignment horizontal="left"/>
      <protection locked="0"/>
    </xf>
    <xf numFmtId="1" fontId="35" fillId="2" borderId="0" xfId="23" applyNumberFormat="1" applyFont="1" applyFill="1" applyBorder="1" applyAlignment="1" applyProtection="1">
      <alignment horizontal="center"/>
      <protection locked="0"/>
    </xf>
    <xf numFmtId="49" fontId="13" fillId="18" borderId="15" xfId="32" applyNumberFormat="1" applyFont="1" applyFill="1" applyBorder="1" applyAlignment="1" applyProtection="1">
      <alignment horizontal="center"/>
      <protection locked="0"/>
    </xf>
    <xf numFmtId="49" fontId="46" fillId="18" borderId="0" xfId="32" applyNumberFormat="1" applyFont="1" applyFill="1" applyBorder="1" applyAlignment="1" applyProtection="1">
      <alignment horizontal="left"/>
      <protection locked="0"/>
    </xf>
    <xf numFmtId="49" fontId="13" fillId="18" borderId="0" xfId="32" applyNumberFormat="1" applyFont="1" applyFill="1" applyBorder="1" applyAlignment="1" applyProtection="1">
      <alignment horizontal="left"/>
      <protection locked="0"/>
    </xf>
    <xf numFmtId="1" fontId="13" fillId="18" borderId="0" xfId="24" applyNumberFormat="1" applyFont="1" applyFill="1" applyBorder="1" applyAlignment="1" applyProtection="1">
      <alignment horizontal="center"/>
      <protection locked="0"/>
    </xf>
    <xf numFmtId="49" fontId="47" fillId="17" borderId="0" xfId="32" applyNumberFormat="1" applyFont="1" applyFill="1" applyBorder="1" applyAlignment="1" applyProtection="1">
      <alignment horizontal="left"/>
      <protection locked="0"/>
    </xf>
    <xf numFmtId="49" fontId="13" fillId="32" borderId="15" xfId="5" applyNumberFormat="1" applyFont="1" applyFill="1" applyBorder="1" applyAlignment="1" applyProtection="1">
      <alignment horizontal="center"/>
      <protection locked="0"/>
    </xf>
    <xf numFmtId="49" fontId="13" fillId="33" borderId="0" xfId="32" applyNumberFormat="1" applyFont="1" applyFill="1" applyBorder="1" applyAlignment="1" applyProtection="1">
      <alignment horizontal="left"/>
      <protection locked="0"/>
    </xf>
    <xf numFmtId="1" fontId="13" fillId="32" borderId="0" xfId="5" applyNumberFormat="1" applyFont="1" applyFill="1" applyBorder="1" applyAlignment="1" applyProtection="1">
      <alignment horizontal="center"/>
      <protection locked="0"/>
    </xf>
    <xf numFmtId="1" fontId="13" fillId="34" borderId="0" xfId="30" applyNumberFormat="1" applyFont="1" applyFill="1" applyBorder="1" applyAlignment="1" applyProtection="1">
      <alignment horizontal="center"/>
      <protection locked="0"/>
    </xf>
    <xf numFmtId="49" fontId="13" fillId="32" borderId="0" xfId="32" applyNumberFormat="1" applyFont="1" applyFill="1" applyBorder="1" applyAlignment="1" applyProtection="1">
      <alignment horizontal="left"/>
      <protection locked="0"/>
    </xf>
    <xf numFmtId="49" fontId="13" fillId="32" borderId="0" xfId="32" applyNumberFormat="1" applyFont="1" applyFill="1" applyBorder="1" applyAlignment="1" applyProtection="1">
      <alignment horizontal="center"/>
      <protection locked="0"/>
    </xf>
    <xf numFmtId="49" fontId="46" fillId="32" borderId="0" xfId="32" applyNumberFormat="1" applyFont="1" applyFill="1" applyBorder="1" applyAlignment="1" applyProtection="1">
      <alignment horizontal="left"/>
      <protection locked="0"/>
    </xf>
    <xf numFmtId="164" fontId="13" fillId="17" borderId="0" xfId="32" applyFont="1" applyFill="1" applyBorder="1" applyProtection="1">
      <protection locked="0"/>
    </xf>
    <xf numFmtId="1" fontId="13" fillId="17" borderId="0" xfId="31" applyNumberFormat="1" applyFont="1" applyFill="1" applyBorder="1" applyAlignment="1" applyProtection="1">
      <alignment horizontal="center"/>
      <protection locked="0"/>
    </xf>
    <xf numFmtId="1" fontId="13" fillId="17" borderId="0" xfId="33" applyNumberFormat="1" applyFont="1" applyFill="1" applyBorder="1" applyAlignment="1" applyProtection="1">
      <alignment horizontal="center"/>
      <protection locked="0"/>
    </xf>
    <xf numFmtId="49" fontId="52" fillId="17" borderId="0" xfId="32" applyNumberFormat="1" applyFont="1" applyFill="1" applyBorder="1" applyAlignment="1" applyProtection="1">
      <alignment horizontal="left"/>
      <protection locked="0"/>
    </xf>
    <xf numFmtId="1" fontId="53" fillId="17" borderId="0" xfId="24" applyNumberFormat="1" applyFont="1" applyFill="1" applyBorder="1" applyAlignment="1" applyProtection="1">
      <alignment horizontal="center"/>
      <protection locked="0"/>
    </xf>
    <xf numFmtId="1" fontId="13" fillId="17" borderId="0" xfId="5" applyNumberFormat="1" applyFont="1" applyFill="1" applyBorder="1" applyAlignment="1" applyProtection="1">
      <alignment horizontal="center"/>
      <protection locked="0"/>
    </xf>
    <xf numFmtId="1" fontId="13" fillId="35" borderId="0" xfId="30" applyNumberFormat="1" applyFont="1" applyFill="1" applyBorder="1" applyAlignment="1" applyProtection="1">
      <alignment horizontal="center"/>
      <protection locked="0"/>
    </xf>
    <xf numFmtId="164" fontId="46" fillId="17" borderId="0" xfId="32" applyFont="1" applyFill="1" applyBorder="1" applyProtection="1">
      <protection locked="0"/>
    </xf>
    <xf numFmtId="1" fontId="13" fillId="17" borderId="0" xfId="32" applyNumberFormat="1" applyFont="1" applyFill="1" applyBorder="1" applyAlignment="1" applyProtection="1">
      <alignment horizontal="center"/>
      <protection locked="0"/>
    </xf>
    <xf numFmtId="164" fontId="21" fillId="17" borderId="0" xfId="32" applyFont="1" applyFill="1" applyBorder="1" applyAlignment="1" applyProtection="1">
      <alignment horizontal="center"/>
      <protection locked="0"/>
    </xf>
    <xf numFmtId="49" fontId="13" fillId="32" borderId="0" xfId="32" applyNumberFormat="1" applyFont="1" applyFill="1" applyBorder="1" applyAlignment="1" applyProtection="1">
      <alignment horizontal="left"/>
      <protection locked="0"/>
    </xf>
    <xf numFmtId="49" fontId="13" fillId="32" borderId="0" xfId="32" applyNumberFormat="1" applyFont="1" applyFill="1" applyBorder="1" applyAlignment="1" applyProtection="1">
      <alignment horizontal="center"/>
      <protection locked="0"/>
    </xf>
    <xf numFmtId="165" fontId="13" fillId="10" borderId="49" xfId="23" applyNumberFormat="1" applyFont="1" applyFill="1" applyBorder="1" applyAlignment="1" applyProtection="1">
      <alignment horizontal="center"/>
      <protection locked="0"/>
    </xf>
    <xf numFmtId="165" fontId="21" fillId="0" borderId="0" xfId="23" applyNumberFormat="1" applyFont="1" applyFill="1" applyBorder="1" applyAlignment="1" applyProtection="1">
      <alignment horizontal="center"/>
      <protection locked="0"/>
    </xf>
    <xf numFmtId="3" fontId="13" fillId="10" borderId="37" xfId="23" applyNumberFormat="1" applyFont="1" applyFill="1" applyBorder="1" applyAlignment="1" applyProtection="1">
      <alignment horizontal="right"/>
      <protection locked="0"/>
    </xf>
    <xf numFmtId="3" fontId="21" fillId="0" borderId="0" xfId="23" applyNumberFormat="1" applyFont="1" applyFill="1" applyBorder="1" applyAlignment="1" applyProtection="1">
      <alignment horizontal="right"/>
      <protection locked="0"/>
    </xf>
    <xf numFmtId="3" fontId="13" fillId="10" borderId="49" xfId="23" applyNumberFormat="1" applyFont="1" applyFill="1" applyBorder="1" applyAlignment="1" applyProtection="1">
      <alignment horizontal="right"/>
      <protection locked="0"/>
    </xf>
    <xf numFmtId="3" fontId="13" fillId="10" borderId="51" xfId="23" applyNumberFormat="1" applyFont="1" applyFill="1" applyBorder="1" applyAlignment="1" applyProtection="1">
      <alignment horizontal="right"/>
      <protection locked="0"/>
    </xf>
    <xf numFmtId="3" fontId="21" fillId="0" borderId="15" xfId="23" applyNumberFormat="1" applyFont="1" applyFill="1" applyBorder="1" applyAlignment="1" applyProtection="1">
      <alignment horizontal="right"/>
      <protection locked="0"/>
    </xf>
    <xf numFmtId="49" fontId="13" fillId="32" borderId="0" xfId="23" applyNumberFormat="1" applyFont="1" applyFill="1" applyBorder="1" applyAlignment="1" applyProtection="1">
      <alignment horizontal="center"/>
      <protection locked="0"/>
    </xf>
    <xf numFmtId="49" fontId="13" fillId="32" borderId="0" xfId="23" applyNumberFormat="1" applyFont="1" applyFill="1" applyBorder="1" applyAlignment="1" applyProtection="1">
      <alignment horizontal="left"/>
      <protection locked="0"/>
    </xf>
    <xf numFmtId="49" fontId="13" fillId="32" borderId="0" xfId="23" applyNumberFormat="1" applyFont="1" applyFill="1" applyBorder="1" applyProtection="1">
      <protection locked="0"/>
    </xf>
    <xf numFmtId="3" fontId="13" fillId="0" borderId="0" xfId="23" applyNumberFormat="1" applyFont="1" applyFill="1" applyBorder="1" applyAlignment="1" applyProtection="1">
      <alignment horizontal="right"/>
      <protection locked="0"/>
    </xf>
    <xf numFmtId="3" fontId="13" fillId="0" borderId="15" xfId="23" applyNumberFormat="1" applyFont="1" applyFill="1" applyBorder="1" applyAlignment="1" applyProtection="1">
      <alignment horizontal="right"/>
      <protection locked="0"/>
    </xf>
    <xf numFmtId="49" fontId="46" fillId="32" borderId="0" xfId="32" applyNumberFormat="1" applyFont="1" applyFill="1" applyBorder="1" applyAlignment="1" applyProtection="1">
      <alignment horizontal="left"/>
      <protection locked="0"/>
    </xf>
    <xf numFmtId="49" fontId="46" fillId="32" borderId="0" xfId="118" applyNumberFormat="1" applyFont="1" applyFill="1" applyBorder="1" applyAlignment="1" applyProtection="1">
      <alignment horizontal="left"/>
      <protection locked="0"/>
    </xf>
    <xf numFmtId="1" fontId="13" fillId="32" borderId="0" xfId="109" applyNumberFormat="1" applyFont="1" applyFill="1" applyBorder="1" applyAlignment="1" applyProtection="1">
      <alignment horizontal="center"/>
      <protection locked="0"/>
    </xf>
    <xf numFmtId="3" fontId="25" fillId="0" borderId="0" xfId="4" applyFont="1" applyFill="1" applyBorder="1"/>
    <xf numFmtId="49" fontId="13" fillId="15" borderId="15" xfId="32" applyNumberFormat="1" applyFont="1" applyFill="1" applyBorder="1" applyAlignment="1" applyProtection="1">
      <alignment horizontal="center"/>
      <protection locked="0"/>
    </xf>
    <xf numFmtId="49" fontId="13" fillId="15" borderId="0" xfId="32" applyNumberFormat="1" applyFont="1" applyFill="1" applyBorder="1" applyAlignment="1" applyProtection="1">
      <alignment horizontal="left"/>
      <protection locked="0"/>
    </xf>
    <xf numFmtId="1" fontId="13" fillId="15" borderId="0" xfId="32" applyNumberFormat="1" applyFont="1" applyFill="1" applyBorder="1" applyAlignment="1" applyProtection="1">
      <alignment horizontal="center"/>
      <protection locked="0"/>
    </xf>
    <xf numFmtId="165" fontId="13" fillId="10" borderId="49" xfId="23" applyNumberFormat="1" applyFont="1" applyFill="1" applyBorder="1" applyAlignment="1" applyProtection="1">
      <alignment horizontal="center"/>
      <protection locked="0"/>
    </xf>
    <xf numFmtId="165" fontId="21" fillId="0" borderId="0" xfId="23" applyNumberFormat="1" applyFont="1" applyFill="1" applyBorder="1" applyAlignment="1" applyProtection="1">
      <alignment horizontal="center"/>
      <protection locked="0"/>
    </xf>
    <xf numFmtId="3" fontId="13" fillId="10" borderId="37" xfId="23" applyNumberFormat="1" applyFont="1" applyFill="1" applyBorder="1" applyAlignment="1" applyProtection="1">
      <alignment horizontal="right"/>
      <protection locked="0"/>
    </xf>
    <xf numFmtId="3" fontId="21" fillId="0" borderId="0" xfId="23" applyNumberFormat="1" applyFont="1" applyFill="1" applyBorder="1" applyAlignment="1" applyProtection="1">
      <alignment horizontal="right"/>
      <protection locked="0"/>
    </xf>
    <xf numFmtId="3" fontId="21" fillId="0" borderId="4" xfId="23" applyNumberFormat="1" applyFont="1" applyFill="1" applyBorder="1" applyAlignment="1" applyProtection="1">
      <alignment horizontal="right"/>
      <protection locked="0"/>
    </xf>
    <xf numFmtId="3" fontId="13" fillId="10" borderId="49" xfId="23" applyNumberFormat="1" applyFont="1" applyFill="1" applyBorder="1" applyAlignment="1" applyProtection="1">
      <alignment horizontal="right"/>
      <protection locked="0"/>
    </xf>
    <xf numFmtId="3" fontId="13" fillId="10" borderId="51" xfId="23" applyNumberFormat="1" applyFont="1" applyFill="1" applyBorder="1" applyAlignment="1" applyProtection="1">
      <alignment horizontal="right"/>
      <protection locked="0"/>
    </xf>
    <xf numFmtId="3" fontId="21" fillId="0" borderId="15" xfId="23" applyNumberFormat="1" applyFont="1" applyFill="1" applyBorder="1" applyAlignment="1" applyProtection="1">
      <alignment horizontal="right"/>
      <protection locked="0"/>
    </xf>
    <xf numFmtId="3" fontId="21" fillId="0" borderId="37" xfId="23" applyNumberFormat="1" applyFont="1" applyFill="1" applyBorder="1" applyAlignment="1" applyProtection="1">
      <alignment horizontal="right"/>
      <protection locked="0"/>
    </xf>
    <xf numFmtId="49" fontId="13" fillId="15" borderId="15" xfId="5" applyNumberFormat="1" applyFont="1" applyFill="1" applyBorder="1" applyAlignment="1" applyProtection="1">
      <alignment horizontal="center"/>
      <protection locked="0"/>
    </xf>
    <xf numFmtId="49" fontId="13" fillId="15" borderId="0" xfId="5" applyNumberFormat="1" applyFont="1" applyFill="1" applyBorder="1" applyAlignment="1" applyProtection="1">
      <alignment horizontal="left"/>
      <protection locked="0"/>
    </xf>
    <xf numFmtId="1" fontId="13" fillId="15" borderId="0" xfId="5" applyNumberFormat="1" applyFont="1" applyFill="1" applyBorder="1" applyAlignment="1" applyProtection="1">
      <alignment horizontal="center"/>
      <protection locked="0"/>
    </xf>
    <xf numFmtId="49" fontId="13" fillId="15" borderId="15" xfId="23" applyNumberFormat="1" applyFont="1" applyFill="1" applyBorder="1" applyAlignment="1" applyProtection="1">
      <alignment horizontal="center"/>
      <protection locked="0"/>
    </xf>
    <xf numFmtId="49" fontId="13" fillId="15" borderId="0" xfId="23" applyNumberFormat="1" applyFont="1" applyFill="1" applyBorder="1" applyAlignment="1" applyProtection="1">
      <alignment horizontal="left"/>
      <protection locked="0"/>
    </xf>
    <xf numFmtId="49" fontId="13" fillId="15" borderId="0" xfId="23" applyNumberFormat="1" applyFont="1" applyFill="1" applyBorder="1" applyAlignment="1" applyProtection="1">
      <alignment horizontal="center"/>
      <protection locked="0"/>
    </xf>
    <xf numFmtId="49" fontId="13" fillId="15" borderId="0" xfId="23" applyNumberFormat="1" applyFont="1" applyFill="1" applyBorder="1" applyAlignment="1" applyProtection="1">
      <protection locked="0"/>
    </xf>
    <xf numFmtId="1" fontId="13" fillId="15" borderId="0" xfId="33" applyNumberFormat="1" applyFont="1" applyFill="1" applyBorder="1" applyAlignment="1" applyProtection="1">
      <alignment horizontal="center"/>
      <protection locked="0"/>
    </xf>
    <xf numFmtId="1" fontId="13" fillId="36" borderId="0" xfId="30" applyNumberFormat="1" applyFont="1" applyFill="1" applyBorder="1" applyAlignment="1" applyProtection="1">
      <alignment horizontal="center"/>
      <protection locked="0"/>
    </xf>
    <xf numFmtId="1" fontId="13" fillId="15" borderId="0" xfId="109" applyNumberFormat="1" applyFont="1" applyFill="1" applyBorder="1" applyAlignment="1" applyProtection="1">
      <alignment horizontal="center"/>
      <protection locked="0"/>
    </xf>
    <xf numFmtId="1" fontId="53" fillId="15" borderId="0" xfId="109" applyNumberFormat="1" applyFont="1" applyFill="1" applyBorder="1" applyAlignment="1" applyProtection="1">
      <alignment horizontal="center"/>
      <protection locked="0"/>
    </xf>
    <xf numFmtId="49" fontId="46" fillId="15" borderId="0" xfId="32" applyNumberFormat="1" applyFont="1" applyFill="1" applyBorder="1" applyAlignment="1" applyProtection="1">
      <alignment horizontal="left"/>
      <protection locked="0"/>
    </xf>
    <xf numFmtId="49" fontId="46" fillId="15" borderId="0" xfId="5" applyNumberFormat="1" applyFont="1" applyFill="1" applyBorder="1" applyAlignment="1" applyProtection="1">
      <alignment horizontal="left"/>
      <protection locked="0"/>
    </xf>
    <xf numFmtId="49" fontId="52" fillId="15" borderId="0" xfId="32" applyNumberFormat="1" applyFont="1" applyFill="1" applyBorder="1" applyAlignment="1" applyProtection="1">
      <alignment horizontal="left"/>
      <protection locked="0"/>
    </xf>
    <xf numFmtId="49" fontId="13" fillId="21" borderId="15" xfId="32" applyNumberFormat="1" applyFont="1" applyFill="1" applyBorder="1" applyAlignment="1" applyProtection="1">
      <alignment horizontal="center"/>
      <protection locked="0"/>
    </xf>
    <xf numFmtId="49" fontId="13" fillId="21" borderId="0" xfId="32" applyNumberFormat="1" applyFont="1" applyFill="1" applyBorder="1" applyAlignment="1" applyProtection="1">
      <alignment horizontal="left"/>
      <protection locked="0"/>
    </xf>
    <xf numFmtId="49" fontId="46" fillId="21" borderId="0" xfId="32" applyNumberFormat="1" applyFont="1" applyFill="1" applyBorder="1" applyAlignment="1" applyProtection="1">
      <alignment horizontal="left"/>
      <protection locked="0"/>
    </xf>
    <xf numFmtId="1" fontId="13" fillId="21" borderId="0" xfId="32" applyNumberFormat="1" applyFont="1" applyFill="1" applyBorder="1" applyAlignment="1" applyProtection="1">
      <alignment horizontal="center"/>
      <protection locked="0"/>
    </xf>
    <xf numFmtId="1" fontId="13" fillId="21" borderId="0" xfId="24" applyNumberFormat="1" applyFont="1" applyFill="1" applyBorder="1" applyAlignment="1" applyProtection="1">
      <alignment horizontal="center"/>
      <protection locked="0"/>
    </xf>
    <xf numFmtId="3" fontId="13" fillId="21" borderId="0" xfId="5" applyFont="1" applyFill="1" applyBorder="1" applyAlignment="1" applyProtection="1">
      <protection locked="0"/>
    </xf>
    <xf numFmtId="1" fontId="13" fillId="23" borderId="0" xfId="32" applyNumberFormat="1" applyFont="1" applyFill="1" applyBorder="1" applyAlignment="1" applyProtection="1">
      <alignment horizontal="center"/>
      <protection locked="0"/>
    </xf>
    <xf numFmtId="49" fontId="13" fillId="23" borderId="0" xfId="32" applyNumberFormat="1" applyFont="1" applyFill="1" applyBorder="1" applyAlignment="1" applyProtection="1">
      <alignment horizontal="left"/>
      <protection locked="0"/>
    </xf>
    <xf numFmtId="165" fontId="13" fillId="10" borderId="49" xfId="23" applyNumberFormat="1" applyFont="1" applyFill="1" applyBorder="1" applyAlignment="1" applyProtection="1">
      <alignment horizontal="center"/>
      <protection locked="0"/>
    </xf>
    <xf numFmtId="165" fontId="21" fillId="0" borderId="0" xfId="23" applyNumberFormat="1" applyFont="1" applyFill="1" applyBorder="1" applyAlignment="1" applyProtection="1">
      <alignment horizontal="center"/>
      <protection locked="0"/>
    </xf>
    <xf numFmtId="3" fontId="13" fillId="10" borderId="37" xfId="23" applyNumberFormat="1" applyFont="1" applyFill="1" applyBorder="1" applyAlignment="1" applyProtection="1">
      <alignment horizontal="right"/>
      <protection locked="0"/>
    </xf>
    <xf numFmtId="3" fontId="21" fillId="0" borderId="0" xfId="23" applyNumberFormat="1" applyFont="1" applyFill="1" applyBorder="1" applyAlignment="1" applyProtection="1">
      <alignment horizontal="right"/>
      <protection locked="0"/>
    </xf>
    <xf numFmtId="3" fontId="13" fillId="10" borderId="49" xfId="23" applyNumberFormat="1" applyFont="1" applyFill="1" applyBorder="1" applyAlignment="1" applyProtection="1">
      <alignment horizontal="right"/>
      <protection locked="0"/>
    </xf>
    <xf numFmtId="3" fontId="13" fillId="10" borderId="51" xfId="23" applyNumberFormat="1" applyFont="1" applyFill="1" applyBorder="1" applyAlignment="1" applyProtection="1">
      <alignment horizontal="right"/>
      <protection locked="0"/>
    </xf>
    <xf numFmtId="3" fontId="21" fillId="0" borderId="15" xfId="23" applyNumberFormat="1" applyFont="1" applyFill="1" applyBorder="1" applyAlignment="1" applyProtection="1">
      <alignment horizontal="right"/>
      <protection locked="0"/>
    </xf>
    <xf numFmtId="3" fontId="21" fillId="0" borderId="37" xfId="23" applyNumberFormat="1" applyFont="1" applyFill="1" applyBorder="1" applyAlignment="1" applyProtection="1">
      <alignment horizontal="right"/>
      <protection locked="0"/>
    </xf>
    <xf numFmtId="3" fontId="13" fillId="10" borderId="15" xfId="23" applyNumberFormat="1" applyFont="1" applyFill="1" applyBorder="1" applyAlignment="1" applyProtection="1">
      <alignment horizontal="right"/>
      <protection locked="0"/>
    </xf>
    <xf numFmtId="49" fontId="13" fillId="23" borderId="0" xfId="32" applyNumberFormat="1" applyFont="1" applyFill="1" applyBorder="1" applyAlignment="1" applyProtection="1">
      <alignment horizontal="center"/>
      <protection locked="0"/>
    </xf>
    <xf numFmtId="49" fontId="46" fillId="21" borderId="0" xfId="32" applyNumberFormat="1" applyFont="1" applyFill="1" applyBorder="1" applyAlignment="1" applyProtection="1">
      <alignment horizontal="left"/>
      <protection locked="0"/>
    </xf>
    <xf numFmtId="49" fontId="46" fillId="21" borderId="0" xfId="5" applyNumberFormat="1" applyFont="1" applyFill="1" applyBorder="1" applyAlignment="1" applyProtection="1">
      <alignment horizontal="left"/>
      <protection locked="0"/>
    </xf>
    <xf numFmtId="49" fontId="46" fillId="23" borderId="0" xfId="32" applyNumberFormat="1" applyFont="1" applyFill="1" applyBorder="1" applyAlignment="1" applyProtection="1">
      <alignment horizontal="left"/>
      <protection locked="0"/>
    </xf>
    <xf numFmtId="49" fontId="46" fillId="21" borderId="0" xfId="118" applyNumberFormat="1" applyFont="1" applyFill="1" applyBorder="1" applyAlignment="1" applyProtection="1">
      <alignment horizontal="left"/>
      <protection locked="0"/>
    </xf>
    <xf numFmtId="49" fontId="52" fillId="23" borderId="0" xfId="32" applyNumberFormat="1" applyFont="1" applyFill="1" applyBorder="1" applyAlignment="1" applyProtection="1">
      <alignment horizontal="left"/>
      <protection locked="0"/>
    </xf>
    <xf numFmtId="1" fontId="53" fillId="21" borderId="0" xfId="109" applyNumberFormat="1" applyFont="1" applyFill="1" applyBorder="1" applyAlignment="1" applyProtection="1">
      <alignment horizontal="center"/>
      <protection locked="0"/>
    </xf>
    <xf numFmtId="1" fontId="13" fillId="21" borderId="0" xfId="109" applyNumberFormat="1" applyFont="1" applyFill="1" applyBorder="1" applyAlignment="1" applyProtection="1">
      <alignment horizontal="center"/>
      <protection locked="0"/>
    </xf>
    <xf numFmtId="49" fontId="13" fillId="32" borderId="0" xfId="24" applyNumberFormat="1" applyFont="1" applyFill="1" applyBorder="1" applyAlignment="1" applyProtection="1">
      <alignment horizontal="left"/>
      <protection locked="0"/>
    </xf>
    <xf numFmtId="3" fontId="13" fillId="32" borderId="0" xfId="5" applyFont="1" applyFill="1" applyBorder="1" applyAlignment="1" applyProtection="1">
      <protection locked="0"/>
    </xf>
    <xf numFmtId="3" fontId="24" fillId="0" borderId="0" xfId="4" applyFont="1" applyFill="1" applyBorder="1"/>
    <xf numFmtId="3" fontId="25" fillId="0" borderId="0" xfId="4" applyFont="1" applyFill="1" applyBorder="1"/>
    <xf numFmtId="165" fontId="13" fillId="10" borderId="49" xfId="23" applyNumberFormat="1" applyFont="1" applyFill="1" applyBorder="1" applyAlignment="1" applyProtection="1">
      <alignment horizontal="center"/>
      <protection locked="0"/>
    </xf>
    <xf numFmtId="165" fontId="21" fillId="0" borderId="0" xfId="23" applyNumberFormat="1" applyFont="1" applyFill="1" applyBorder="1" applyAlignment="1" applyProtection="1">
      <alignment horizontal="center"/>
      <protection locked="0"/>
    </xf>
    <xf numFmtId="3" fontId="13" fillId="10" borderId="37" xfId="23" applyNumberFormat="1" applyFont="1" applyFill="1" applyBorder="1" applyAlignment="1" applyProtection="1">
      <alignment horizontal="right"/>
      <protection locked="0"/>
    </xf>
    <xf numFmtId="3" fontId="21" fillId="0" borderId="0" xfId="23" applyNumberFormat="1" applyFont="1" applyFill="1" applyBorder="1" applyAlignment="1" applyProtection="1">
      <alignment horizontal="right"/>
      <protection locked="0"/>
    </xf>
    <xf numFmtId="3" fontId="13" fillId="10" borderId="49" xfId="23" applyNumberFormat="1" applyFont="1" applyFill="1" applyBorder="1" applyAlignment="1" applyProtection="1">
      <alignment horizontal="right"/>
      <protection locked="0"/>
    </xf>
    <xf numFmtId="3" fontId="13" fillId="10" borderId="51" xfId="23" applyNumberFormat="1" applyFont="1" applyFill="1" applyBorder="1" applyAlignment="1" applyProtection="1">
      <alignment horizontal="right"/>
      <protection locked="0"/>
    </xf>
    <xf numFmtId="3" fontId="21" fillId="0" borderId="15" xfId="23" applyNumberFormat="1" applyFont="1" applyFill="1" applyBorder="1" applyAlignment="1" applyProtection="1">
      <alignment horizontal="right"/>
      <protection locked="0"/>
    </xf>
    <xf numFmtId="49" fontId="13" fillId="32" borderId="0" xfId="23" applyNumberFormat="1" applyFont="1" applyFill="1" applyBorder="1" applyAlignment="1" applyProtection="1">
      <alignment horizontal="center"/>
      <protection locked="0"/>
    </xf>
    <xf numFmtId="49" fontId="13" fillId="32" borderId="0" xfId="23" applyNumberFormat="1" applyFont="1" applyFill="1" applyBorder="1" applyAlignment="1" applyProtection="1">
      <alignment horizontal="left"/>
      <protection locked="0"/>
    </xf>
    <xf numFmtId="0" fontId="54" fillId="0" borderId="0" xfId="35" quotePrefix="1" applyNumberFormat="1"/>
    <xf numFmtId="49" fontId="13" fillId="32" borderId="0" xfId="24" applyNumberFormat="1" applyFont="1" applyFill="1" applyBorder="1" applyAlignment="1" applyProtection="1">
      <alignment horizontal="left"/>
      <protection locked="0"/>
    </xf>
    <xf numFmtId="165" fontId="13" fillId="10" borderId="49" xfId="23" applyNumberFormat="1" applyFont="1" applyFill="1" applyBorder="1" applyAlignment="1" applyProtection="1">
      <alignment horizontal="center"/>
      <protection locked="0"/>
    </xf>
    <xf numFmtId="165" fontId="21" fillId="0" borderId="0" xfId="23" applyNumberFormat="1" applyFont="1" applyFill="1" applyBorder="1" applyAlignment="1" applyProtection="1">
      <alignment horizontal="center"/>
      <protection locked="0"/>
    </xf>
    <xf numFmtId="3" fontId="13" fillId="10" borderId="37" xfId="23" applyNumberFormat="1" applyFont="1" applyFill="1" applyBorder="1" applyAlignment="1" applyProtection="1">
      <alignment horizontal="right"/>
      <protection locked="0"/>
    </xf>
    <xf numFmtId="3" fontId="21" fillId="0" borderId="0" xfId="23" applyNumberFormat="1" applyFont="1" applyFill="1" applyBorder="1" applyAlignment="1" applyProtection="1">
      <alignment horizontal="right"/>
      <protection locked="0"/>
    </xf>
    <xf numFmtId="3" fontId="38" fillId="11" borderId="37" xfId="23" applyNumberFormat="1" applyFont="1" applyFill="1" applyBorder="1" applyAlignment="1" applyProtection="1">
      <alignment horizontal="right"/>
    </xf>
    <xf numFmtId="3" fontId="38" fillId="11" borderId="15" xfId="23" applyNumberFormat="1" applyFont="1" applyFill="1" applyBorder="1" applyAlignment="1" applyProtection="1">
      <alignment horizontal="right"/>
    </xf>
    <xf numFmtId="3" fontId="43" fillId="6" borderId="37" xfId="23" applyNumberFormat="1" applyFont="1" applyFill="1" applyBorder="1" applyAlignment="1" applyProtection="1">
      <alignment horizontal="right"/>
    </xf>
    <xf numFmtId="3" fontId="43" fillId="6" borderId="15" xfId="23" applyNumberFormat="1" applyFont="1" applyFill="1" applyBorder="1" applyAlignment="1" applyProtection="1">
      <alignment horizontal="right"/>
    </xf>
    <xf numFmtId="3" fontId="43" fillId="6" borderId="50" xfId="23" applyNumberFormat="1" applyFont="1" applyFill="1" applyBorder="1" applyAlignment="1" applyProtection="1">
      <alignment horizontal="right"/>
    </xf>
    <xf numFmtId="3" fontId="13" fillId="10" borderId="49" xfId="23" applyNumberFormat="1" applyFont="1" applyFill="1" applyBorder="1" applyAlignment="1" applyProtection="1">
      <alignment horizontal="right"/>
      <protection locked="0"/>
    </xf>
    <xf numFmtId="3" fontId="13" fillId="10" borderId="51" xfId="23" applyNumberFormat="1" applyFont="1" applyFill="1" applyBorder="1" applyAlignment="1" applyProtection="1">
      <alignment horizontal="right"/>
      <protection locked="0"/>
    </xf>
    <xf numFmtId="3" fontId="21" fillId="0" borderId="15" xfId="23" applyNumberFormat="1" applyFont="1" applyFill="1" applyBorder="1" applyAlignment="1" applyProtection="1">
      <alignment horizontal="right"/>
      <protection locked="0"/>
    </xf>
    <xf numFmtId="3" fontId="38" fillId="11" borderId="0" xfId="23" applyNumberFormat="1" applyFont="1" applyFill="1" applyBorder="1" applyAlignment="1" applyProtection="1">
      <alignment horizontal="right"/>
    </xf>
    <xf numFmtId="3" fontId="43" fillId="6" borderId="52" xfId="23" applyNumberFormat="1" applyFont="1" applyFill="1" applyBorder="1" applyAlignment="1" applyProtection="1">
      <alignment horizontal="right"/>
    </xf>
    <xf numFmtId="3" fontId="38" fillId="11" borderId="51" xfId="23" applyNumberFormat="1" applyFont="1" applyFill="1" applyBorder="1" applyAlignment="1" applyProtection="1">
      <alignment horizontal="right"/>
    </xf>
    <xf numFmtId="49" fontId="13" fillId="32" borderId="0" xfId="23" applyNumberFormat="1" applyFont="1" applyFill="1" applyBorder="1" applyAlignment="1" applyProtection="1">
      <alignment horizontal="center"/>
      <protection locked="0"/>
    </xf>
    <xf numFmtId="49" fontId="13" fillId="32" borderId="0" xfId="23" applyNumberFormat="1" applyFont="1" applyFill="1" applyBorder="1" applyAlignment="1" applyProtection="1">
      <alignment horizontal="left"/>
      <protection locked="0"/>
    </xf>
    <xf numFmtId="49" fontId="52" fillId="32" borderId="0" xfId="24" applyNumberFormat="1" applyFont="1" applyFill="1" applyBorder="1" applyAlignment="1" applyProtection="1">
      <alignment horizontal="left"/>
      <protection locked="0"/>
    </xf>
    <xf numFmtId="49" fontId="46" fillId="32" borderId="0" xfId="109" applyNumberFormat="1" applyFont="1" applyFill="1" applyBorder="1" applyAlignment="1" applyProtection="1">
      <alignment horizontal="left"/>
      <protection locked="0"/>
    </xf>
    <xf numFmtId="49" fontId="46" fillId="32" borderId="0" xfId="24" applyNumberFormat="1" applyFont="1" applyFill="1" applyBorder="1" applyAlignment="1" applyProtection="1">
      <alignment horizontal="left"/>
      <protection locked="0"/>
    </xf>
    <xf numFmtId="3" fontId="46" fillId="32" borderId="0" xfId="5" applyFont="1" applyFill="1" applyBorder="1" applyAlignment="1" applyProtection="1">
      <protection locked="0"/>
    </xf>
    <xf numFmtId="1" fontId="53" fillId="32" borderId="0" xfId="109" applyNumberFormat="1" applyFont="1" applyFill="1" applyBorder="1" applyAlignment="1" applyProtection="1">
      <alignment horizontal="center"/>
      <protection locked="0"/>
    </xf>
    <xf numFmtId="1" fontId="13" fillId="32" borderId="0" xfId="109" applyNumberFormat="1" applyFont="1" applyFill="1" applyBorder="1" applyAlignment="1" applyProtection="1">
      <alignment horizontal="center"/>
      <protection locked="0"/>
    </xf>
    <xf numFmtId="1" fontId="13" fillId="32" borderId="0" xfId="24" applyNumberFormat="1" applyFont="1" applyFill="1" applyBorder="1" applyAlignment="1" applyProtection="1">
      <alignment horizontal="center"/>
      <protection locked="0"/>
    </xf>
    <xf numFmtId="37" fontId="17" fillId="0" borderId="0" xfId="0" applyNumberFormat="1" applyFont="1" applyBorder="1" applyAlignment="1" applyProtection="1">
      <alignment horizontal="left" vertical="top" wrapText="1"/>
    </xf>
    <xf numFmtId="49" fontId="13" fillId="6" borderId="0" xfId="23" applyNumberFormat="1" applyFont="1" applyFill="1" applyBorder="1" applyAlignment="1" applyProtection="1">
      <protection locked="0"/>
    </xf>
    <xf numFmtId="49" fontId="50" fillId="6" borderId="0" xfId="23" applyNumberFormat="1" applyFont="1" applyFill="1" applyBorder="1" applyAlignment="1" applyProtection="1">
      <protection locked="0"/>
    </xf>
    <xf numFmtId="49" fontId="13" fillId="37" borderId="0" xfId="23" applyNumberFormat="1" applyFont="1" applyFill="1" applyBorder="1" applyAlignment="1" applyProtection="1">
      <protection locked="0"/>
    </xf>
    <xf numFmtId="49" fontId="50" fillId="37" borderId="0" xfId="23" applyNumberFormat="1" applyFont="1" applyFill="1" applyBorder="1" applyAlignment="1" applyProtection="1">
      <protection locked="0"/>
    </xf>
    <xf numFmtId="49" fontId="13" fillId="6" borderId="0" xfId="23" applyNumberFormat="1" applyFont="1" applyFill="1" applyBorder="1" applyProtection="1">
      <protection locked="0"/>
    </xf>
    <xf numFmtId="49" fontId="46" fillId="6" borderId="0" xfId="32" applyNumberFormat="1" applyFont="1" applyFill="1" applyBorder="1" applyAlignment="1" applyProtection="1">
      <alignment horizontal="left"/>
      <protection locked="0"/>
    </xf>
    <xf numFmtId="3" fontId="38" fillId="6" borderId="37" xfId="23" applyNumberFormat="1" applyFont="1" applyFill="1" applyBorder="1" applyAlignment="1" applyProtection="1">
      <alignment horizontal="right"/>
      <protection locked="0"/>
    </xf>
    <xf numFmtId="3" fontId="21" fillId="6" borderId="0" xfId="23" applyNumberFormat="1" applyFont="1" applyFill="1" applyBorder="1" applyAlignment="1" applyProtection="1">
      <alignment horizontal="right"/>
      <protection locked="0"/>
    </xf>
    <xf numFmtId="3" fontId="0" fillId="0" borderId="0" xfId="0" applyFill="1"/>
    <xf numFmtId="165" fontId="13" fillId="0" borderId="58" xfId="0" applyNumberFormat="1" applyFont="1" applyFill="1" applyBorder="1" applyAlignment="1"/>
    <xf numFmtId="165" fontId="13" fillId="0" borderId="59" xfId="0" applyNumberFormat="1" applyFont="1" applyFill="1" applyBorder="1" applyAlignment="1"/>
    <xf numFmtId="165" fontId="13" fillId="0" borderId="58" xfId="0" applyNumberFormat="1" applyFont="1" applyFill="1" applyBorder="1"/>
    <xf numFmtId="165" fontId="13" fillId="0" borderId="59" xfId="0" applyNumberFormat="1" applyFont="1" applyFill="1" applyBorder="1"/>
    <xf numFmtId="165" fontId="13" fillId="0" borderId="60" xfId="0" applyNumberFormat="1" applyFont="1" applyFill="1" applyBorder="1"/>
    <xf numFmtId="165" fontId="13" fillId="0" borderId="61" xfId="0" applyNumberFormat="1" applyFont="1" applyFill="1" applyBorder="1"/>
    <xf numFmtId="165" fontId="13" fillId="0" borderId="62" xfId="0" applyNumberFormat="1" applyFont="1" applyFill="1" applyBorder="1"/>
    <xf numFmtId="165" fontId="21" fillId="0" borderId="58" xfId="0" applyNumberFormat="1" applyFont="1" applyFill="1" applyBorder="1" applyAlignment="1"/>
    <xf numFmtId="165" fontId="13" fillId="0" borderId="65" xfId="0" applyNumberFormat="1" applyFont="1" applyFill="1" applyBorder="1"/>
    <xf numFmtId="165" fontId="13" fillId="0" borderId="63" xfId="0" applyNumberFormat="1" applyFont="1" applyFill="1" applyBorder="1"/>
    <xf numFmtId="165" fontId="13" fillId="0" borderId="64" xfId="0" applyNumberFormat="1" applyFont="1" applyFill="1" applyBorder="1"/>
    <xf numFmtId="165" fontId="13" fillId="0" borderId="63" xfId="0" applyNumberFormat="1" applyFont="1" applyFill="1" applyBorder="1" applyAlignment="1">
      <alignment horizontal="right"/>
    </xf>
    <xf numFmtId="165" fontId="13" fillId="0" borderId="64" xfId="0" applyNumberFormat="1" applyFont="1" applyFill="1" applyBorder="1" applyAlignment="1">
      <alignment horizontal="right"/>
    </xf>
    <xf numFmtId="165" fontId="13" fillId="0" borderId="58" xfId="0" applyNumberFormat="1" applyFont="1" applyFill="1" applyBorder="1" applyAlignment="1">
      <alignment wrapText="1"/>
    </xf>
    <xf numFmtId="165" fontId="13" fillId="8" borderId="58" xfId="0" applyNumberFormat="1" applyFont="1" applyFill="1" applyBorder="1"/>
    <xf numFmtId="165" fontId="13" fillId="8" borderId="59" xfId="0" applyNumberFormat="1" applyFont="1" applyFill="1" applyBorder="1"/>
    <xf numFmtId="165" fontId="13" fillId="8" borderId="63" xfId="0" applyNumberFormat="1" applyFont="1" applyFill="1" applyBorder="1"/>
    <xf numFmtId="165" fontId="13" fillId="8" borderId="60" xfId="0" applyNumberFormat="1" applyFont="1" applyFill="1" applyBorder="1"/>
    <xf numFmtId="165" fontId="13" fillId="8" borderId="61" xfId="0" applyNumberFormat="1" applyFont="1" applyFill="1" applyBorder="1"/>
    <xf numFmtId="3" fontId="12" fillId="0" borderId="11" xfId="0" applyFont="1" applyBorder="1" applyAlignment="1">
      <alignment horizontal="center"/>
    </xf>
    <xf numFmtId="37" fontId="17" fillId="0" borderId="0" xfId="0" applyNumberFormat="1" applyFont="1" applyBorder="1" applyAlignment="1" applyProtection="1">
      <alignment horizontal="left" vertical="top" wrapText="1"/>
    </xf>
    <xf numFmtId="168" fontId="21" fillId="0" borderId="15" xfId="0" applyNumberFormat="1" applyFont="1" applyFill="1" applyBorder="1" applyAlignment="1">
      <alignment horizontal="right"/>
    </xf>
    <xf numFmtId="165" fontId="13" fillId="8" borderId="66" xfId="0" applyNumberFormat="1" applyFont="1" applyFill="1" applyBorder="1"/>
    <xf numFmtId="165" fontId="13" fillId="8" borderId="54" xfId="0" applyNumberFormat="1" applyFont="1" applyFill="1" applyBorder="1"/>
    <xf numFmtId="168" fontId="21" fillId="8" borderId="54" xfId="0" applyNumberFormat="1" applyFont="1" applyFill="1" applyBorder="1" applyAlignment="1">
      <alignment horizontal="right"/>
    </xf>
    <xf numFmtId="165" fontId="13" fillId="8" borderId="33" xfId="0" applyNumberFormat="1" applyFont="1" applyFill="1" applyBorder="1"/>
    <xf numFmtId="168" fontId="21" fillId="0" borderId="8" xfId="0" applyNumberFormat="1" applyFont="1" applyFill="1" applyBorder="1" applyAlignment="1">
      <alignment horizontal="right"/>
    </xf>
    <xf numFmtId="3" fontId="33" fillId="0" borderId="0" xfId="0" applyFont="1" applyFill="1" applyBorder="1" applyAlignment="1"/>
    <xf numFmtId="168" fontId="21" fillId="0" borderId="3" xfId="0" applyNumberFormat="1" applyFont="1" applyFill="1" applyBorder="1" applyAlignment="1">
      <alignment horizontal="right"/>
    </xf>
    <xf numFmtId="168" fontId="21" fillId="0" borderId="16" xfId="0" applyNumberFormat="1" applyFont="1" applyFill="1" applyBorder="1" applyAlignment="1">
      <alignment horizontal="right"/>
    </xf>
    <xf numFmtId="168" fontId="21" fillId="8" borderId="8" xfId="0" applyNumberFormat="1" applyFont="1" applyFill="1" applyBorder="1" applyAlignment="1">
      <alignment horizontal="right"/>
    </xf>
    <xf numFmtId="168" fontId="21" fillId="8" borderId="67" xfId="0" applyNumberFormat="1" applyFont="1" applyFill="1" applyBorder="1" applyAlignment="1">
      <alignment horizontal="right"/>
    </xf>
    <xf numFmtId="168" fontId="21" fillId="7" borderId="0" xfId="0" applyNumberFormat="1" applyFont="1" applyFill="1" applyAlignment="1">
      <alignment horizontal="right"/>
    </xf>
    <xf numFmtId="168" fontId="21" fillId="7" borderId="15" xfId="0" applyNumberFormat="1" applyFont="1" applyFill="1" applyBorder="1" applyAlignment="1">
      <alignment horizontal="right"/>
    </xf>
    <xf numFmtId="168" fontId="21" fillId="7" borderId="7" xfId="0" applyNumberFormat="1" applyFont="1" applyFill="1" applyBorder="1" applyAlignment="1">
      <alignment horizontal="right"/>
    </xf>
    <xf numFmtId="3" fontId="13" fillId="16" borderId="0" xfId="0" applyNumberFormat="1" applyFont="1" applyFill="1"/>
    <xf numFmtId="3" fontId="13" fillId="0" borderId="58" xfId="0" applyFont="1" applyBorder="1"/>
    <xf numFmtId="3" fontId="13" fillId="0" borderId="59" xfId="0" applyFont="1" applyBorder="1"/>
    <xf numFmtId="3" fontId="21" fillId="0" borderId="58" xfId="0" applyFont="1" applyBorder="1"/>
    <xf numFmtId="3" fontId="13" fillId="8" borderId="59" xfId="0" applyFont="1" applyFill="1" applyBorder="1"/>
    <xf numFmtId="3" fontId="13" fillId="8" borderId="60" xfId="0" applyFont="1" applyFill="1" applyBorder="1"/>
    <xf numFmtId="3" fontId="13" fillId="8" borderId="58" xfId="0" applyFont="1" applyFill="1" applyBorder="1"/>
    <xf numFmtId="3" fontId="13" fillId="8" borderId="61" xfId="0" applyFont="1" applyFill="1" applyBorder="1"/>
    <xf numFmtId="3" fontId="13" fillId="8" borderId="2" xfId="0" applyFont="1" applyFill="1" applyBorder="1"/>
    <xf numFmtId="3" fontId="13" fillId="8" borderId="32" xfId="0" applyFont="1" applyFill="1" applyBorder="1"/>
    <xf numFmtId="3" fontId="13" fillId="8" borderId="58" xfId="0" applyNumberFormat="1" applyFont="1" applyFill="1" applyBorder="1"/>
    <xf numFmtId="3" fontId="13" fillId="8" borderId="61" xfId="0" applyNumberFormat="1" applyFont="1" applyFill="1" applyBorder="1"/>
    <xf numFmtId="3" fontId="13" fillId="8" borderId="7" xfId="0" applyNumberFormat="1" applyFont="1" applyFill="1" applyBorder="1"/>
    <xf numFmtId="3" fontId="13" fillId="8" borderId="33" xfId="0" applyNumberFormat="1" applyFont="1" applyFill="1" applyBorder="1"/>
    <xf numFmtId="168" fontId="21" fillId="8" borderId="7" xfId="0" applyNumberFormat="1" applyFont="1" applyFill="1" applyBorder="1"/>
    <xf numFmtId="168" fontId="21" fillId="8" borderId="33" xfId="0" applyNumberFormat="1" applyFont="1" applyFill="1" applyBorder="1"/>
    <xf numFmtId="168" fontId="21" fillId="8" borderId="8" xfId="0" applyNumberFormat="1" applyFont="1" applyFill="1" applyBorder="1"/>
    <xf numFmtId="168" fontId="21" fillId="8" borderId="35" xfId="0" applyNumberFormat="1" applyFont="1" applyFill="1" applyBorder="1"/>
    <xf numFmtId="168" fontId="35" fillId="8" borderId="38" xfId="0" applyNumberFormat="1" applyFont="1" applyFill="1" applyBorder="1"/>
    <xf numFmtId="168" fontId="35" fillId="8" borderId="41" xfId="0" applyNumberFormat="1" applyFont="1" applyFill="1" applyBorder="1"/>
    <xf numFmtId="3" fontId="40" fillId="0" borderId="0" xfId="0" applyFont="1" applyFill="1"/>
    <xf numFmtId="166" fontId="33" fillId="0" borderId="0" xfId="0" applyNumberFormat="1" applyFont="1" applyFill="1"/>
    <xf numFmtId="3" fontId="13" fillId="0" borderId="58" xfId="0" applyFont="1" applyFill="1" applyBorder="1"/>
    <xf numFmtId="3" fontId="13" fillId="0" borderId="59" xfId="0" applyFont="1" applyFill="1" applyBorder="1"/>
    <xf numFmtId="3" fontId="13" fillId="0" borderId="62" xfId="0" applyFont="1" applyFill="1" applyBorder="1"/>
    <xf numFmtId="3" fontId="13" fillId="0" borderId="2" xfId="0" applyFont="1" applyFill="1" applyBorder="1"/>
    <xf numFmtId="3" fontId="13" fillId="0" borderId="58" xfId="0" applyNumberFormat="1" applyFont="1" applyFill="1" applyBorder="1"/>
    <xf numFmtId="3" fontId="13" fillId="0" borderId="62" xfId="0" applyNumberFormat="1" applyFont="1" applyFill="1" applyBorder="1"/>
    <xf numFmtId="3" fontId="13" fillId="0" borderId="7" xfId="0" applyNumberFormat="1" applyFont="1" applyFill="1" applyBorder="1"/>
    <xf numFmtId="10" fontId="21" fillId="0" borderId="7" xfId="0" applyNumberFormat="1" applyFont="1" applyFill="1" applyBorder="1"/>
    <xf numFmtId="10" fontId="35" fillId="0" borderId="38" xfId="0" applyNumberFormat="1" applyFont="1" applyFill="1" applyBorder="1"/>
    <xf numFmtId="10" fontId="21" fillId="0" borderId="0" xfId="0" applyNumberFormat="1" applyFont="1" applyFill="1"/>
    <xf numFmtId="10" fontId="35" fillId="0" borderId="57" xfId="0" applyNumberFormat="1" applyFont="1" applyFill="1" applyBorder="1"/>
    <xf numFmtId="168" fontId="35" fillId="8" borderId="69" xfId="0" applyNumberFormat="1" applyFont="1" applyFill="1" applyBorder="1"/>
    <xf numFmtId="168" fontId="35" fillId="8" borderId="68" xfId="0" applyNumberFormat="1" applyFont="1" applyFill="1" applyBorder="1"/>
    <xf numFmtId="10" fontId="35" fillId="7" borderId="57" xfId="0" applyNumberFormat="1" applyFont="1" applyFill="1" applyBorder="1"/>
    <xf numFmtId="3" fontId="21" fillId="16" borderId="63" xfId="0" applyFont="1" applyFill="1" applyBorder="1"/>
    <xf numFmtId="3" fontId="13" fillId="16" borderId="58" xfId="0" applyFont="1" applyFill="1" applyBorder="1"/>
    <xf numFmtId="3" fontId="13" fillId="16" borderId="58" xfId="0" applyNumberFormat="1" applyFont="1" applyFill="1" applyBorder="1"/>
    <xf numFmtId="3" fontId="13" fillId="16" borderId="62" xfId="0" applyNumberFormat="1" applyFont="1" applyFill="1" applyBorder="1"/>
    <xf numFmtId="3" fontId="13" fillId="16" borderId="7" xfId="0" applyFont="1" applyFill="1" applyBorder="1"/>
    <xf numFmtId="3" fontId="13" fillId="16" borderId="7" xfId="0" applyNumberFormat="1" applyFont="1" applyFill="1" applyBorder="1"/>
    <xf numFmtId="168" fontId="21" fillId="16" borderId="7" xfId="0" applyNumberFormat="1" applyFont="1" applyFill="1" applyBorder="1"/>
    <xf numFmtId="10" fontId="21" fillId="16" borderId="7" xfId="0" applyNumberFormat="1" applyFont="1" applyFill="1" applyBorder="1"/>
    <xf numFmtId="10" fontId="21" fillId="16" borderId="0" xfId="0" applyNumberFormat="1" applyFont="1" applyFill="1"/>
    <xf numFmtId="168" fontId="21" fillId="16" borderId="8" xfId="0" applyNumberFormat="1" applyFont="1" applyFill="1" applyBorder="1"/>
    <xf numFmtId="3" fontId="35" fillId="16" borderId="69" xfId="0" applyFont="1" applyFill="1" applyBorder="1"/>
    <xf numFmtId="10" fontId="35" fillId="16" borderId="69" xfId="0" applyNumberFormat="1" applyFont="1" applyFill="1" applyBorder="1"/>
    <xf numFmtId="10" fontId="35" fillId="16" borderId="14" xfId="0" applyNumberFormat="1" applyFont="1" applyFill="1" applyBorder="1"/>
    <xf numFmtId="3" fontId="53" fillId="13" borderId="7" xfId="0" applyFont="1" applyFill="1" applyBorder="1"/>
    <xf numFmtId="37" fontId="20" fillId="0" borderId="0" xfId="0" applyNumberFormat="1" applyFont="1" applyAlignment="1" applyProtection="1"/>
    <xf numFmtId="3" fontId="13" fillId="0" borderId="57" xfId="0" applyFont="1" applyBorder="1"/>
    <xf numFmtId="37" fontId="13" fillId="0" borderId="57" xfId="0" applyNumberFormat="1" applyFont="1" applyBorder="1" applyAlignment="1">
      <alignment horizontal="right"/>
    </xf>
    <xf numFmtId="37" fontId="13" fillId="0" borderId="57" xfId="0" applyNumberFormat="1" applyFont="1" applyFill="1" applyBorder="1" applyAlignment="1">
      <alignment horizontal="right"/>
    </xf>
    <xf numFmtId="37" fontId="0" fillId="0" borderId="0" xfId="0" applyNumberFormat="1" applyFont="1" applyAlignment="1" applyProtection="1">
      <alignment horizontal="left"/>
    </xf>
    <xf numFmtId="37" fontId="21" fillId="0" borderId="13" xfId="0" applyNumberFormat="1" applyFont="1" applyBorder="1" applyAlignment="1" applyProtection="1">
      <alignment horizontal="center"/>
    </xf>
    <xf numFmtId="37" fontId="22" fillId="0" borderId="13" xfId="0" applyNumberFormat="1" applyFont="1" applyBorder="1" applyAlignment="1" applyProtection="1">
      <alignment horizontal="center"/>
    </xf>
    <xf numFmtId="37" fontId="22" fillId="0" borderId="18" xfId="0" applyNumberFormat="1" applyFont="1" applyBorder="1" applyAlignment="1" applyProtection="1">
      <alignment horizontal="center"/>
    </xf>
    <xf numFmtId="3" fontId="13" fillId="0" borderId="11" xfId="0" applyFont="1" applyFill="1" applyBorder="1" applyAlignment="1">
      <alignment horizontal="center"/>
    </xf>
    <xf numFmtId="37" fontId="0" fillId="0" borderId="0" xfId="0" applyNumberFormat="1" applyBorder="1" applyAlignment="1" applyProtection="1">
      <alignment vertical="top" wrapText="1"/>
    </xf>
    <xf numFmtId="165" fontId="13" fillId="7" borderId="7" xfId="0" applyNumberFormat="1" applyFont="1" applyFill="1" applyBorder="1"/>
    <xf numFmtId="37" fontId="21" fillId="0" borderId="64" xfId="0" applyNumberFormat="1" applyFont="1" applyBorder="1" applyAlignment="1" applyProtection="1">
      <alignment horizontal="center"/>
    </xf>
    <xf numFmtId="37" fontId="22" fillId="0" borderId="64" xfId="0" applyNumberFormat="1" applyFont="1" applyBorder="1" applyAlignment="1" applyProtection="1">
      <alignment horizontal="centerContinuous" wrapText="1"/>
    </xf>
    <xf numFmtId="37" fontId="22" fillId="0" borderId="70" xfId="0" applyNumberFormat="1" applyFont="1" applyBorder="1" applyAlignment="1" applyProtection="1">
      <alignment horizontal="right"/>
    </xf>
    <xf numFmtId="3" fontId="12" fillId="0" borderId="17" xfId="0" applyFont="1" applyFill="1" applyBorder="1" applyAlignment="1">
      <alignment horizontal="centerContinuous"/>
    </xf>
    <xf numFmtId="37" fontId="22" fillId="0" borderId="71" xfId="0" applyNumberFormat="1" applyFont="1" applyBorder="1" applyAlignment="1" applyProtection="1">
      <alignment horizontal="centerContinuous"/>
    </xf>
    <xf numFmtId="3" fontId="12" fillId="0" borderId="71" xfId="0" applyFont="1" applyBorder="1" applyAlignment="1">
      <alignment horizontal="centerContinuous"/>
    </xf>
    <xf numFmtId="37" fontId="41" fillId="0" borderId="0" xfId="0" quotePrefix="1" applyNumberFormat="1" applyFont="1" applyAlignment="1">
      <alignment horizontal="right"/>
    </xf>
    <xf numFmtId="37" fontId="41" fillId="0" borderId="15" xfId="0" quotePrefix="1" applyNumberFormat="1" applyFont="1" applyBorder="1" applyAlignment="1">
      <alignment horizontal="right"/>
    </xf>
    <xf numFmtId="3" fontId="13" fillId="0" borderId="0" xfId="0" applyFont="1" applyBorder="1" applyAlignment="1">
      <alignment horizontal="centerContinuous"/>
    </xf>
    <xf numFmtId="37" fontId="22" fillId="0" borderId="0" xfId="0" applyNumberFormat="1" applyFont="1" applyBorder="1" applyAlignment="1" applyProtection="1">
      <alignment horizontal="right"/>
    </xf>
    <xf numFmtId="37" fontId="22" fillId="0" borderId="18" xfId="0" applyNumberFormat="1" applyFont="1" applyBorder="1" applyAlignment="1" applyProtection="1">
      <alignment horizontal="centerContinuous" vertical="center"/>
    </xf>
    <xf numFmtId="3" fontId="12" fillId="0" borderId="13" xfId="0" applyFont="1" applyBorder="1" applyAlignment="1">
      <alignment horizontal="centerContinuous" vertical="center"/>
    </xf>
    <xf numFmtId="3" fontId="13" fillId="0" borderId="11" xfId="0" applyFont="1" applyBorder="1" applyAlignment="1">
      <alignment horizontal="centerContinuous" vertical="center"/>
    </xf>
    <xf numFmtId="10" fontId="37" fillId="16" borderId="0" xfId="7" applyNumberFormat="1" applyFont="1" applyFill="1" applyBorder="1" applyAlignment="1">
      <alignment horizontal="center"/>
    </xf>
    <xf numFmtId="3" fontId="13" fillId="0" borderId="0" xfId="0" applyFont="1" applyFill="1" applyBorder="1" applyAlignment="1">
      <alignment horizontal="right" wrapText="1"/>
    </xf>
    <xf numFmtId="168" fontId="13" fillId="0" borderId="0" xfId="7" applyNumberFormat="1" applyFont="1" applyFill="1" applyBorder="1"/>
    <xf numFmtId="2" fontId="37" fillId="0" borderId="0" xfId="7" applyNumberFormat="1" applyFont="1" applyFill="1" applyBorder="1" applyAlignment="1">
      <alignment horizontal="center"/>
    </xf>
    <xf numFmtId="169" fontId="37" fillId="0" borderId="0" xfId="7" applyNumberFormat="1" applyFont="1" applyFill="1" applyBorder="1" applyAlignment="1">
      <alignment horizontal="center"/>
    </xf>
    <xf numFmtId="170" fontId="37" fillId="0" borderId="0" xfId="7" applyNumberFormat="1" applyFont="1" applyFill="1" applyBorder="1" applyAlignment="1">
      <alignment horizontal="center"/>
    </xf>
    <xf numFmtId="10" fontId="13" fillId="0" borderId="6" xfId="7" applyNumberFormat="1" applyFont="1" applyBorder="1"/>
    <xf numFmtId="10" fontId="41" fillId="0" borderId="0" xfId="7" quotePrefix="1" applyNumberFormat="1" applyFont="1" applyBorder="1"/>
    <xf numFmtId="10" fontId="41" fillId="0" borderId="15" xfId="7" quotePrefix="1" applyNumberFormat="1" applyFont="1" applyBorder="1"/>
    <xf numFmtId="10" fontId="13" fillId="0" borderId="3" xfId="7" applyNumberFormat="1" applyFont="1" applyBorder="1"/>
    <xf numFmtId="10" fontId="13" fillId="0" borderId="16" xfId="7" applyNumberFormat="1" applyFont="1" applyBorder="1"/>
    <xf numFmtId="10" fontId="13" fillId="0" borderId="57" xfId="7" quotePrefix="1" applyNumberFormat="1" applyFont="1" applyBorder="1"/>
    <xf numFmtId="10" fontId="41" fillId="16" borderId="0" xfId="7" quotePrefix="1" applyNumberFormat="1" applyFont="1" applyFill="1" applyBorder="1" applyAlignment="1">
      <alignment horizontal="center"/>
    </xf>
    <xf numFmtId="10" fontId="13" fillId="0" borderId="15" xfId="0" applyNumberFormat="1" applyFont="1" applyBorder="1"/>
    <xf numFmtId="3" fontId="21" fillId="16" borderId="0" xfId="23" applyNumberFormat="1" applyFont="1" applyFill="1" applyBorder="1" applyAlignment="1" applyProtection="1">
      <alignment horizontal="right"/>
      <protection locked="0"/>
    </xf>
    <xf numFmtId="3" fontId="13" fillId="2" borderId="15" xfId="1" applyNumberFormat="1" applyFont="1" applyFill="1" applyBorder="1"/>
    <xf numFmtId="3" fontId="13" fillId="2" borderId="0" xfId="1" applyNumberFormat="1" applyFont="1" applyFill="1" applyBorder="1"/>
    <xf numFmtId="3" fontId="13" fillId="2" borderId="0" xfId="1" applyNumberFormat="1" applyFont="1" applyFill="1"/>
    <xf numFmtId="3" fontId="13" fillId="2" borderId="16" xfId="1" applyNumberFormat="1" applyFont="1" applyFill="1" applyBorder="1"/>
    <xf numFmtId="3" fontId="13" fillId="2" borderId="3" xfId="1" applyNumberFormat="1" applyFont="1" applyFill="1" applyBorder="1"/>
    <xf numFmtId="3" fontId="13" fillId="2" borderId="5" xfId="1" applyNumberFormat="1" applyFont="1" applyFill="1" applyBorder="1"/>
    <xf numFmtId="37" fontId="17" fillId="0" borderId="0" xfId="0" applyNumberFormat="1" applyFont="1" applyBorder="1" applyAlignment="1" applyProtection="1">
      <alignment vertical="top" wrapText="1"/>
    </xf>
    <xf numFmtId="0" fontId="13" fillId="26" borderId="0" xfId="23" applyNumberFormat="1" applyFont="1" applyFill="1" applyBorder="1" applyAlignment="1" applyProtection="1">
      <alignment horizontal="center"/>
      <protection locked="0"/>
    </xf>
    <xf numFmtId="49" fontId="0" fillId="32" borderId="0" xfId="23" applyNumberFormat="1" applyFont="1" applyFill="1" applyBorder="1" applyAlignment="1" applyProtection="1">
      <alignment horizontal="center"/>
      <protection locked="0"/>
    </xf>
    <xf numFmtId="165" fontId="13" fillId="0" borderId="2" xfId="0" applyNumberFormat="1" applyFont="1" applyFill="1" applyBorder="1"/>
    <xf numFmtId="165" fontId="13" fillId="0" borderId="0" xfId="0" applyNumberFormat="1" applyFont="1" applyFill="1" applyBorder="1"/>
    <xf numFmtId="168" fontId="21" fillId="0" borderId="0" xfId="0" applyNumberFormat="1" applyFont="1" applyFill="1" applyBorder="1" applyAlignment="1">
      <alignment horizontal="right"/>
    </xf>
    <xf numFmtId="49" fontId="13" fillId="7" borderId="0" xfId="23" applyNumberFormat="1" applyFont="1" applyFill="1" applyBorder="1" applyAlignment="1" applyProtection="1">
      <protection locked="0"/>
    </xf>
    <xf numFmtId="3" fontId="13" fillId="7" borderId="37" xfId="23" applyNumberFormat="1" applyFont="1" applyFill="1" applyBorder="1" applyAlignment="1" applyProtection="1">
      <alignment horizontal="right"/>
      <protection locked="0"/>
    </xf>
    <xf numFmtId="49" fontId="13" fillId="38" borderId="0" xfId="23" applyNumberFormat="1" applyFont="1" applyFill="1" applyBorder="1" applyAlignment="1" applyProtection="1">
      <protection locked="0"/>
    </xf>
    <xf numFmtId="3" fontId="13" fillId="38" borderId="37" xfId="23" applyNumberFormat="1" applyFont="1" applyFill="1" applyBorder="1" applyAlignment="1" applyProtection="1">
      <alignment horizontal="right"/>
      <protection locked="0"/>
    </xf>
    <xf numFmtId="49" fontId="50" fillId="7" borderId="0" xfId="23" applyNumberFormat="1" applyFont="1" applyFill="1" applyBorder="1" applyAlignment="1" applyProtection="1">
      <alignment horizontal="right"/>
      <protection locked="0"/>
    </xf>
    <xf numFmtId="49" fontId="50" fillId="38" borderId="0" xfId="23" applyNumberFormat="1" applyFont="1" applyFill="1" applyBorder="1" applyAlignment="1" applyProtection="1">
      <alignment horizontal="right"/>
      <protection locked="0"/>
    </xf>
    <xf numFmtId="49" fontId="13" fillId="39" borderId="0" xfId="23" applyNumberFormat="1" applyFont="1" applyFill="1" applyBorder="1" applyAlignment="1" applyProtection="1">
      <protection locked="0"/>
    </xf>
    <xf numFmtId="49" fontId="50" fillId="39" borderId="0" xfId="23" applyNumberFormat="1" applyFont="1" applyFill="1" applyBorder="1" applyAlignment="1" applyProtection="1">
      <alignment horizontal="right"/>
      <protection locked="0"/>
    </xf>
    <xf numFmtId="3" fontId="13" fillId="39" borderId="37" xfId="23" applyNumberFormat="1" applyFont="1" applyFill="1" applyBorder="1" applyAlignment="1" applyProtection="1">
      <alignment horizontal="right"/>
      <protection locked="0"/>
    </xf>
    <xf numFmtId="1" fontId="13" fillId="33" borderId="0" xfId="109" applyNumberFormat="1" applyFont="1" applyFill="1" applyBorder="1" applyAlignment="1" applyProtection="1">
      <alignment horizontal="center"/>
      <protection locked="0"/>
    </xf>
    <xf numFmtId="49" fontId="13" fillId="40" borderId="0" xfId="23" applyNumberFormat="1" applyFont="1" applyFill="1" applyBorder="1" applyAlignment="1" applyProtection="1">
      <alignment horizontal="center"/>
      <protection locked="0"/>
    </xf>
    <xf numFmtId="0" fontId="13" fillId="40" borderId="0" xfId="23" applyNumberFormat="1" applyFont="1" applyFill="1" applyBorder="1" applyAlignment="1" applyProtection="1">
      <alignment horizontal="center"/>
      <protection locked="0"/>
    </xf>
    <xf numFmtId="166" fontId="35" fillId="0" borderId="0" xfId="0" applyNumberFormat="1" applyFont="1" applyFill="1" applyBorder="1" applyAlignment="1"/>
    <xf numFmtId="3" fontId="35" fillId="0" borderId="0" xfId="0" applyFont="1" applyFill="1" applyBorder="1"/>
    <xf numFmtId="3" fontId="35" fillId="0" borderId="3" xfId="0" applyFont="1" applyFill="1" applyBorder="1"/>
    <xf numFmtId="37" fontId="22" fillId="41" borderId="17" xfId="0" applyNumberFormat="1" applyFont="1" applyFill="1" applyBorder="1" applyAlignment="1" applyProtection="1">
      <alignment horizontal="right"/>
    </xf>
    <xf numFmtId="3" fontId="27" fillId="41" borderId="0" xfId="0" applyFont="1" applyFill="1"/>
    <xf numFmtId="3" fontId="35" fillId="41" borderId="0" xfId="0" applyFont="1" applyFill="1"/>
    <xf numFmtId="37" fontId="30" fillId="41" borderId="13" xfId="0" applyNumberFormat="1" applyFont="1" applyFill="1" applyBorder="1" applyAlignment="1" applyProtection="1">
      <alignment horizontal="centerContinuous"/>
    </xf>
    <xf numFmtId="3" fontId="31" fillId="41" borderId="11" xfId="0" applyFont="1" applyFill="1" applyBorder="1" applyAlignment="1">
      <alignment horizontal="centerContinuous"/>
    </xf>
    <xf numFmtId="37" fontId="30" fillId="41" borderId="17" xfId="0" applyNumberFormat="1" applyFont="1" applyFill="1" applyBorder="1" applyAlignment="1" applyProtection="1">
      <alignment horizontal="center" wrapText="1"/>
    </xf>
    <xf numFmtId="37" fontId="30" fillId="41" borderId="17" xfId="0" applyNumberFormat="1" applyFont="1" applyFill="1" applyBorder="1" applyAlignment="1" applyProtection="1">
      <alignment horizontal="right"/>
    </xf>
    <xf numFmtId="3" fontId="27" fillId="41" borderId="0" xfId="0" applyNumberFormat="1" applyFont="1" applyFill="1" applyAlignment="1">
      <alignment horizontal="right"/>
    </xf>
    <xf numFmtId="3" fontId="27" fillId="41" borderId="0" xfId="0" applyNumberFormat="1" applyFont="1" applyFill="1" applyBorder="1" applyAlignment="1">
      <alignment horizontal="right"/>
    </xf>
    <xf numFmtId="3" fontId="27" fillId="41" borderId="4" xfId="0" applyNumberFormat="1" applyFont="1" applyFill="1" applyBorder="1" applyAlignment="1">
      <alignment horizontal="right"/>
    </xf>
    <xf numFmtId="3" fontId="36" fillId="41" borderId="0" xfId="0" applyFont="1" applyFill="1" applyAlignment="1">
      <alignment vertical="center"/>
    </xf>
    <xf numFmtId="3" fontId="27" fillId="41" borderId="3" xfId="0" applyNumberFormat="1" applyFont="1" applyFill="1" applyBorder="1" applyAlignment="1">
      <alignment horizontal="right"/>
    </xf>
    <xf numFmtId="3" fontId="27" fillId="41" borderId="5" xfId="0" applyNumberFormat="1" applyFont="1" applyFill="1" applyBorder="1" applyAlignment="1">
      <alignment horizontal="right"/>
    </xf>
    <xf numFmtId="3" fontId="27" fillId="41" borderId="16" xfId="0" applyFont="1" applyFill="1" applyBorder="1"/>
    <xf numFmtId="3" fontId="27" fillId="41" borderId="15" xfId="0" applyFont="1" applyFill="1" applyBorder="1"/>
    <xf numFmtId="3" fontId="25" fillId="41" borderId="72" xfId="0" applyFont="1" applyFill="1" applyBorder="1" applyAlignment="1">
      <alignment vertical="center"/>
    </xf>
    <xf numFmtId="3" fontId="38" fillId="41" borderId="16" xfId="0" applyFont="1" applyFill="1" applyBorder="1"/>
    <xf numFmtId="2" fontId="37" fillId="16" borderId="73" xfId="1" applyNumberFormat="1" applyFont="1" applyFill="1" applyBorder="1" applyAlignment="1">
      <alignment horizontal="center"/>
    </xf>
    <xf numFmtId="2" fontId="37" fillId="16" borderId="4" xfId="7" applyNumberFormat="1" applyFont="1" applyFill="1" applyBorder="1" applyAlignment="1">
      <alignment horizontal="center"/>
    </xf>
    <xf numFmtId="2" fontId="37" fillId="16" borderId="4" xfId="1" applyNumberFormat="1" applyFont="1" applyFill="1" applyBorder="1" applyAlignment="1">
      <alignment horizontal="center"/>
    </xf>
    <xf numFmtId="2" fontId="37" fillId="16" borderId="5" xfId="1" applyNumberFormat="1" applyFont="1" applyFill="1" applyBorder="1" applyAlignment="1">
      <alignment horizontal="center"/>
    </xf>
    <xf numFmtId="3" fontId="21" fillId="16" borderId="15" xfId="23" applyNumberFormat="1" applyFont="1" applyFill="1" applyBorder="1" applyAlignment="1" applyProtection="1">
      <alignment horizontal="right"/>
      <protection locked="0"/>
    </xf>
    <xf numFmtId="3" fontId="51" fillId="16" borderId="15" xfId="0" applyNumberFormat="1" applyFont="1" applyFill="1" applyBorder="1" applyAlignment="1" applyProtection="1">
      <alignment horizontal="right" wrapText="1"/>
    </xf>
    <xf numFmtId="3" fontId="34" fillId="16" borderId="37" xfId="4" applyFont="1" applyFill="1" applyBorder="1"/>
    <xf numFmtId="172" fontId="13" fillId="0" borderId="0" xfId="7" applyNumberFormat="1" applyFont="1" applyBorder="1" applyAlignment="1">
      <alignment horizontal="right"/>
    </xf>
    <xf numFmtId="169" fontId="37" fillId="16" borderId="0" xfId="7" applyNumberFormat="1" applyFont="1" applyFill="1" applyBorder="1" applyAlignment="1">
      <alignment horizontal="center"/>
    </xf>
    <xf numFmtId="2" fontId="37" fillId="16" borderId="0" xfId="7" applyNumberFormat="1" applyFont="1" applyFill="1" applyBorder="1" applyAlignment="1">
      <alignment horizontal="center"/>
    </xf>
    <xf numFmtId="0" fontId="43" fillId="11" borderId="47" xfId="23" applyNumberFormat="1" applyFont="1" applyFill="1" applyBorder="1" applyAlignment="1" applyProtection="1">
      <alignment horizontal="centerContinuous"/>
    </xf>
    <xf numFmtId="0" fontId="43" fillId="6" borderId="44" xfId="23" applyNumberFormat="1" applyFont="1" applyFill="1" applyBorder="1" applyAlignment="1" applyProtection="1">
      <alignment horizontal="centerContinuous"/>
    </xf>
    <xf numFmtId="37" fontId="0" fillId="0" borderId="57" xfId="0" applyNumberFormat="1" applyBorder="1" applyAlignment="1" applyProtection="1">
      <alignment horizontal="left" vertical="top" wrapText="1"/>
    </xf>
    <xf numFmtId="37" fontId="20" fillId="0" borderId="0" xfId="0" applyNumberFormat="1" applyFont="1" applyAlignment="1" applyProtection="1">
      <alignment horizontal="center"/>
    </xf>
    <xf numFmtId="37" fontId="16" fillId="0" borderId="0" xfId="0" applyNumberFormat="1" applyFont="1" applyAlignment="1" applyProtection="1">
      <alignment horizontal="center"/>
    </xf>
    <xf numFmtId="37" fontId="0" fillId="0" borderId="0" xfId="0" applyNumberFormat="1" applyBorder="1" applyAlignment="1" applyProtection="1">
      <alignment horizontal="left" vertical="top" wrapText="1"/>
    </xf>
    <xf numFmtId="3" fontId="11" fillId="0" borderId="0" xfId="0" applyFont="1" applyBorder="1" applyAlignment="1">
      <alignment wrapText="1"/>
    </xf>
    <xf numFmtId="3" fontId="0" fillId="0" borderId="0" xfId="0" applyAlignment="1">
      <alignment wrapText="1"/>
    </xf>
    <xf numFmtId="37" fontId="0" fillId="0" borderId="6" xfId="0" applyNumberFormat="1" applyBorder="1" applyAlignment="1" applyProtection="1">
      <alignment horizontal="left" vertical="top" wrapText="1"/>
    </xf>
    <xf numFmtId="37" fontId="17" fillId="0" borderId="6" xfId="0" applyNumberFormat="1" applyFont="1" applyBorder="1" applyAlignment="1" applyProtection="1">
      <alignment horizontal="left" vertical="top" wrapText="1"/>
    </xf>
    <xf numFmtId="3" fontId="0" fillId="0" borderId="6" xfId="0" applyBorder="1" applyAlignment="1">
      <alignment horizontal="left" vertical="top" wrapText="1"/>
    </xf>
    <xf numFmtId="37" fontId="0" fillId="0" borderId="0" xfId="0" applyNumberFormat="1" applyFont="1" applyBorder="1" applyAlignment="1" applyProtection="1">
      <alignment horizontal="left" vertical="top" wrapText="1"/>
    </xf>
    <xf numFmtId="3" fontId="17" fillId="0" borderId="0" xfId="0" applyFont="1" applyAlignment="1"/>
    <xf numFmtId="37" fontId="17" fillId="0" borderId="0" xfId="0" applyNumberFormat="1" applyFont="1" applyBorder="1" applyAlignment="1" applyProtection="1">
      <alignment horizontal="left" vertical="top" wrapText="1"/>
    </xf>
    <xf numFmtId="37" fontId="22" fillId="0" borderId="11" xfId="0" applyNumberFormat="1" applyFont="1" applyBorder="1" applyAlignment="1" applyProtection="1">
      <alignment horizontal="center"/>
    </xf>
    <xf numFmtId="3" fontId="12" fillId="0" borderId="11" xfId="0" applyFont="1" applyBorder="1" applyAlignment="1">
      <alignment horizontal="center"/>
    </xf>
    <xf numFmtId="3" fontId="11" fillId="0" borderId="0" xfId="0" applyFont="1" applyBorder="1"/>
    <xf numFmtId="165" fontId="44" fillId="0" borderId="27" xfId="23" applyNumberFormat="1" applyFont="1" applyFill="1" applyBorder="1" applyAlignment="1" applyProtection="1">
      <alignment horizontal="center"/>
      <protection locked="0"/>
    </xf>
    <xf numFmtId="165" fontId="44" fillId="0" borderId="22" xfId="23" applyNumberFormat="1" applyFont="1" applyFill="1" applyBorder="1" applyAlignment="1" applyProtection="1">
      <alignment horizontal="center"/>
      <protection locked="0"/>
    </xf>
  </cellXfs>
  <cellStyles count="627">
    <cellStyle name="Comma" xfId="1" builtinId="3"/>
    <cellStyle name="Comma 2" xfId="23"/>
    <cellStyle name="Comma 2 2" xfId="116"/>
    <cellStyle name="Comma 2 3" xfId="73"/>
    <cellStyle name="Comma 3" xfId="52"/>
    <cellStyle name="Comma 3 2" xfId="25"/>
    <cellStyle name="Comma 4" xfId="42"/>
    <cellStyle name="Comma 5" xfId="53"/>
    <cellStyle name="Comma 5 10" xfId="318"/>
    <cellStyle name="Comma 5 2" xfId="54"/>
    <cellStyle name="Comma 5 2 2" xfId="127"/>
    <cellStyle name="Comma 5 2 2 2" xfId="171"/>
    <cellStyle name="Comma 5 2 2 2 2" xfId="283"/>
    <cellStyle name="Comma 5 2 2 2 2 2" xfId="605"/>
    <cellStyle name="Comma 5 2 2 2 3" xfId="501"/>
    <cellStyle name="Comma 5 2 2 2 4" xfId="401"/>
    <cellStyle name="Comma 5 2 2 3" xfId="218"/>
    <cellStyle name="Comma 5 2 2 3 2" xfId="544"/>
    <cellStyle name="Comma 5 2 2 3 3" xfId="444"/>
    <cellStyle name="Comma 5 2 2 4" xfId="253"/>
    <cellStyle name="Comma 5 2 2 4 2" xfId="576"/>
    <cellStyle name="Comma 5 2 2 4 3" xfId="371"/>
    <cellStyle name="Comma 5 2 2 5" xfId="471"/>
    <cellStyle name="Comma 5 2 2 6" xfId="344"/>
    <cellStyle name="Comma 5 2 3" xfId="139"/>
    <cellStyle name="Comma 5 2 3 2" xfId="179"/>
    <cellStyle name="Comma 5 2 3 2 2" xfId="291"/>
    <cellStyle name="Comma 5 2 3 2 2 2" xfId="613"/>
    <cellStyle name="Comma 5 2 3 2 3" xfId="509"/>
    <cellStyle name="Comma 5 2 3 2 4" xfId="409"/>
    <cellStyle name="Comma 5 2 3 3" xfId="226"/>
    <cellStyle name="Comma 5 2 3 3 2" xfId="552"/>
    <cellStyle name="Comma 5 2 3 3 3" xfId="452"/>
    <cellStyle name="Comma 5 2 3 4" xfId="259"/>
    <cellStyle name="Comma 5 2 3 4 2" xfId="582"/>
    <cellStyle name="Comma 5 2 3 4 3" xfId="377"/>
    <cellStyle name="Comma 5 2 3 5" xfId="477"/>
    <cellStyle name="Comma 5 2 3 6" xfId="352"/>
    <cellStyle name="Comma 5 2 4" xfId="154"/>
    <cellStyle name="Comma 5 2 4 2" xfId="204"/>
    <cellStyle name="Comma 5 2 4 2 2" xfId="532"/>
    <cellStyle name="Comma 5 2 4 2 3" xfId="432"/>
    <cellStyle name="Comma 5 2 4 3" xfId="271"/>
    <cellStyle name="Comma 5 2 4 3 2" xfId="594"/>
    <cellStyle name="Comma 5 2 4 3 3" xfId="389"/>
    <cellStyle name="Comma 5 2 4 4" xfId="489"/>
    <cellStyle name="Comma 5 2 4 5" xfId="330"/>
    <cellStyle name="Comma 5 2 5" xfId="187"/>
    <cellStyle name="Comma 5 2 5 2" xfId="515"/>
    <cellStyle name="Comma 5 2 5 3" xfId="415"/>
    <cellStyle name="Comma 5 2 6" xfId="240"/>
    <cellStyle name="Comma 5 2 6 2" xfId="563"/>
    <cellStyle name="Comma 5 2 6 3" xfId="358"/>
    <cellStyle name="Comma 5 2 7" xfId="297"/>
    <cellStyle name="Comma 5 2 7 2" xfId="619"/>
    <cellStyle name="Comma 5 2 8" xfId="458"/>
    <cellStyle name="Comma 5 2 9" xfId="319"/>
    <cellStyle name="Comma 5 3" xfId="126"/>
    <cellStyle name="Comma 5 3 2" xfId="170"/>
    <cellStyle name="Comma 5 3 2 2" xfId="282"/>
    <cellStyle name="Comma 5 3 2 2 2" xfId="604"/>
    <cellStyle name="Comma 5 3 2 3" xfId="500"/>
    <cellStyle name="Comma 5 3 2 4" xfId="400"/>
    <cellStyle name="Comma 5 3 3" xfId="217"/>
    <cellStyle name="Comma 5 3 3 2" xfId="543"/>
    <cellStyle name="Comma 5 3 3 3" xfId="443"/>
    <cellStyle name="Comma 5 3 4" xfId="252"/>
    <cellStyle name="Comma 5 3 4 2" xfId="575"/>
    <cellStyle name="Comma 5 3 4 3" xfId="370"/>
    <cellStyle name="Comma 5 3 5" xfId="470"/>
    <cellStyle name="Comma 5 3 6" xfId="343"/>
    <cellStyle name="Comma 5 4" xfId="138"/>
    <cellStyle name="Comma 5 4 2" xfId="178"/>
    <cellStyle name="Comma 5 4 2 2" xfId="290"/>
    <cellStyle name="Comma 5 4 2 2 2" xfId="612"/>
    <cellStyle name="Comma 5 4 2 3" xfId="508"/>
    <cellStyle name="Comma 5 4 2 4" xfId="408"/>
    <cellStyle name="Comma 5 4 3" xfId="225"/>
    <cellStyle name="Comma 5 4 3 2" xfId="551"/>
    <cellStyle name="Comma 5 4 3 3" xfId="451"/>
    <cellStyle name="Comma 5 4 4" xfId="258"/>
    <cellStyle name="Comma 5 4 4 2" xfId="581"/>
    <cellStyle name="Comma 5 4 4 3" xfId="376"/>
    <cellStyle name="Comma 5 4 5" xfId="476"/>
    <cellStyle name="Comma 5 4 6" xfId="351"/>
    <cellStyle name="Comma 5 5" xfId="153"/>
    <cellStyle name="Comma 5 5 2" xfId="203"/>
    <cellStyle name="Comma 5 5 2 2" xfId="531"/>
    <cellStyle name="Comma 5 5 2 3" xfId="431"/>
    <cellStyle name="Comma 5 5 3" xfId="270"/>
    <cellStyle name="Comma 5 5 3 2" xfId="593"/>
    <cellStyle name="Comma 5 5 3 3" xfId="388"/>
    <cellStyle name="Comma 5 5 4" xfId="488"/>
    <cellStyle name="Comma 5 5 5" xfId="329"/>
    <cellStyle name="Comma 5 6" xfId="186"/>
    <cellStyle name="Comma 5 6 2" xfId="514"/>
    <cellStyle name="Comma 5 6 3" xfId="414"/>
    <cellStyle name="Comma 5 7" xfId="239"/>
    <cellStyle name="Comma 5 7 2" xfId="562"/>
    <cellStyle name="Comma 5 7 3" xfId="357"/>
    <cellStyle name="Comma 5 8" xfId="296"/>
    <cellStyle name="Comma 5 8 2" xfId="618"/>
    <cellStyle name="Comma 5 9" xfId="457"/>
    <cellStyle name="Comma 6" xfId="130"/>
    <cellStyle name="Comma 6 2" xfId="158"/>
    <cellStyle name="Comma 6 2 2" xfId="274"/>
    <cellStyle name="Comma 6 2 2 2" xfId="597"/>
    <cellStyle name="Comma 6 2 2 3" xfId="393"/>
    <cellStyle name="Comma 6 2 3" xfId="229"/>
    <cellStyle name="Comma 6 2 3 2" xfId="555"/>
    <cellStyle name="Comma 6 2 4" xfId="493"/>
    <cellStyle name="Comma 6 2 5" xfId="334"/>
    <cellStyle name="Comma 6 3" xfId="208"/>
    <cellStyle name="Comma 6 3 2" xfId="536"/>
    <cellStyle name="Comma 6 3 3" xfId="436"/>
    <cellStyle name="Comma 6 4" xfId="256"/>
    <cellStyle name="Comma 6 4 2" xfId="579"/>
    <cellStyle name="Comma 6 4 3" xfId="374"/>
    <cellStyle name="Comma 6 5" xfId="474"/>
    <cellStyle name="Comma 6 6" xfId="311"/>
    <cellStyle name="Comma 7" xfId="132"/>
    <cellStyle name="Normal" xfId="0" builtinId="0"/>
    <cellStyle name="Normal 10" xfId="21"/>
    <cellStyle name="Normal 10 2" xfId="121"/>
    <cellStyle name="Normal 10 2 2" xfId="174"/>
    <cellStyle name="Normal 10 2 2 2" xfId="221"/>
    <cellStyle name="Normal 10 2 2 2 2" xfId="547"/>
    <cellStyle name="Normal 10 2 2 2 3" xfId="447"/>
    <cellStyle name="Normal 10 2 2 3" xfId="286"/>
    <cellStyle name="Normal 10 2 2 3 2" xfId="608"/>
    <cellStyle name="Normal 10 2 2 3 3" xfId="404"/>
    <cellStyle name="Normal 10 2 2 4" xfId="504"/>
    <cellStyle name="Normal 10 2 2 5" xfId="347"/>
    <cellStyle name="Normal 10 2 3" xfId="194"/>
    <cellStyle name="Normal 10 2 3 2" xfId="522"/>
    <cellStyle name="Normal 10 2 3 3" xfId="422"/>
    <cellStyle name="Normal 10 2 4" xfId="249"/>
    <cellStyle name="Normal 10 2 4 2" xfId="572"/>
    <cellStyle name="Normal 10 2 4 3" xfId="367"/>
    <cellStyle name="Normal 10 2 5" xfId="467"/>
    <cellStyle name="Normal 10 2 6" xfId="322"/>
    <cellStyle name="Normal 10 3" xfId="108"/>
    <cellStyle name="Normal 10 3 2" xfId="166"/>
    <cellStyle name="Normal 10 3 2 2" xfId="278"/>
    <cellStyle name="Normal 10 3 2 3" xfId="231"/>
    <cellStyle name="Normal 10 3 2 3 2" xfId="556"/>
    <cellStyle name="Normal 10 3 2 4" xfId="338"/>
    <cellStyle name="Normal 10 3 3" xfId="245"/>
    <cellStyle name="Normal 10 3 3 2" xfId="568"/>
    <cellStyle name="Normal 10 3 3 3" xfId="363"/>
    <cellStyle name="Normal 10 3 4" xfId="463"/>
    <cellStyle name="Normal 10 4" xfId="150"/>
    <cellStyle name="Normal 10 4 2" xfId="200"/>
    <cellStyle name="Normal 10 4 2 2" xfId="528"/>
    <cellStyle name="Normal 10 4 2 3" xfId="428"/>
    <cellStyle name="Normal 10 4 3" xfId="267"/>
    <cellStyle name="Normal 10 4 3 2" xfId="590"/>
    <cellStyle name="Normal 10 4 3 3" xfId="385"/>
    <cellStyle name="Normal 10 4 4" xfId="485"/>
    <cellStyle name="Normal 10 4 5" xfId="326"/>
    <cellStyle name="Normal 10 5" xfId="191"/>
    <cellStyle name="Normal 10 5 2" xfId="519"/>
    <cellStyle name="Normal 10 5 3" xfId="419"/>
    <cellStyle name="Normal 11" xfId="22"/>
    <cellStyle name="Normal 12" xfId="13"/>
    <cellStyle name="Normal 12 2" xfId="45"/>
    <cellStyle name="Normal 12 3" xfId="164"/>
    <cellStyle name="Normal 13" xfId="35"/>
    <cellStyle name="Normal 13 2" xfId="46"/>
    <cellStyle name="Normal 13 3" xfId="74"/>
    <cellStyle name="Normal 13 3 2" xfId="134"/>
    <cellStyle name="Normal 13 3 3" xfId="236"/>
    <cellStyle name="Normal 14" xfId="11"/>
    <cellStyle name="Normal 14 2" xfId="44"/>
    <cellStyle name="Normal 14 3" xfId="163"/>
    <cellStyle name="Normal 15" xfId="12"/>
    <cellStyle name="Normal 16" xfId="75"/>
    <cellStyle name="Normal 17" xfId="76"/>
    <cellStyle name="Normal 18" xfId="77"/>
    <cellStyle name="Normal 19" xfId="111"/>
    <cellStyle name="Normal 19 2" xfId="136"/>
    <cellStyle name="Normal 19 3" xfId="131"/>
    <cellStyle name="Normal 2" xfId="10"/>
    <cellStyle name="Normal 2 2" xfId="38"/>
    <cellStyle name="Normal 2 2 2" xfId="60"/>
    <cellStyle name="Normal 2 3" xfId="59"/>
    <cellStyle name="Normal 2 3 2" xfId="61"/>
    <cellStyle name="Normal 2 4" xfId="71"/>
    <cellStyle name="Normal 2 4 2" xfId="301"/>
    <cellStyle name="Normal 2 5" xfId="62"/>
    <cellStyle name="Normal 2 5 10" xfId="313"/>
    <cellStyle name="Normal 2 5 2" xfId="129"/>
    <cellStyle name="Normal 2 5 2 2" xfId="173"/>
    <cellStyle name="Normal 2 5 2 2 2" xfId="220"/>
    <cellStyle name="Normal 2 5 2 2 2 2" xfId="546"/>
    <cellStyle name="Normal 2 5 2 2 2 3" xfId="446"/>
    <cellStyle name="Normal 2 5 2 2 3" xfId="285"/>
    <cellStyle name="Normal 2 5 2 2 3 2" xfId="607"/>
    <cellStyle name="Normal 2 5 2 2 3 3" xfId="403"/>
    <cellStyle name="Normal 2 5 2 2 4" xfId="503"/>
    <cellStyle name="Normal 2 5 2 2 5" xfId="346"/>
    <cellStyle name="Normal 2 5 2 3" xfId="156"/>
    <cellStyle name="Normal 2 5 2 3 2" xfId="206"/>
    <cellStyle name="Normal 2 5 2 3 2 2" xfId="534"/>
    <cellStyle name="Normal 2 5 2 3 2 3" xfId="434"/>
    <cellStyle name="Normal 2 5 2 3 3" xfId="273"/>
    <cellStyle name="Normal 2 5 2 3 3 2" xfId="596"/>
    <cellStyle name="Normal 2 5 2 3 3 3" xfId="391"/>
    <cellStyle name="Normal 2 5 2 3 4" xfId="491"/>
    <cellStyle name="Normal 2 5 2 3 5" xfId="332"/>
    <cellStyle name="Normal 2 5 2 4" xfId="196"/>
    <cellStyle name="Normal 2 5 2 4 2" xfId="524"/>
    <cellStyle name="Normal 2 5 2 4 3" xfId="424"/>
    <cellStyle name="Normal 2 5 2 5" xfId="255"/>
    <cellStyle name="Normal 2 5 2 5 2" xfId="578"/>
    <cellStyle name="Normal 2 5 2 5 3" xfId="373"/>
    <cellStyle name="Normal 2 5 2 6" xfId="473"/>
    <cellStyle name="Normal 2 5 2 7" xfId="321"/>
    <cellStyle name="Normal 2 5 3" xfId="119"/>
    <cellStyle name="Normal 2 5 3 2" xfId="160"/>
    <cellStyle name="Normal 2 5 3 2 2" xfId="276"/>
    <cellStyle name="Normal 2 5 3 2 2 2" xfId="599"/>
    <cellStyle name="Normal 2 5 3 2 3" xfId="495"/>
    <cellStyle name="Normal 2 5 3 2 4" xfId="395"/>
    <cellStyle name="Normal 2 5 3 3" xfId="210"/>
    <cellStyle name="Normal 2 5 3 3 2" xfId="538"/>
    <cellStyle name="Normal 2 5 3 3 3" xfId="438"/>
    <cellStyle name="Normal 2 5 3 4" xfId="247"/>
    <cellStyle name="Normal 2 5 3 4 2" xfId="570"/>
    <cellStyle name="Normal 2 5 3 4 3" xfId="365"/>
    <cellStyle name="Normal 2 5 3 5" xfId="465"/>
    <cellStyle name="Normal 2 5 3 6" xfId="336"/>
    <cellStyle name="Normal 2 5 4" xfId="140"/>
    <cellStyle name="Normal 2 5 4 2" xfId="181"/>
    <cellStyle name="Normal 2 5 4 2 2" xfId="293"/>
    <cellStyle name="Normal 2 5 4 2 2 2" xfId="615"/>
    <cellStyle name="Normal 2 5 4 2 3" xfId="511"/>
    <cellStyle name="Normal 2 5 4 2 4" xfId="411"/>
    <cellStyle name="Normal 2 5 4 3" xfId="228"/>
    <cellStyle name="Normal 2 5 4 3 2" xfId="554"/>
    <cellStyle name="Normal 2 5 4 3 3" xfId="454"/>
    <cellStyle name="Normal 2 5 4 4" xfId="260"/>
    <cellStyle name="Normal 2 5 4 4 2" xfId="583"/>
    <cellStyle name="Normal 2 5 4 4 3" xfId="378"/>
    <cellStyle name="Normal 2 5 4 5" xfId="478"/>
    <cellStyle name="Normal 2 5 4 6" xfId="354"/>
    <cellStyle name="Normal 2 5 5" xfId="148"/>
    <cellStyle name="Normal 2 5 5 2" xfId="198"/>
    <cellStyle name="Normal 2 5 5 2 2" xfId="526"/>
    <cellStyle name="Normal 2 5 5 2 3" xfId="426"/>
    <cellStyle name="Normal 2 5 5 3" xfId="265"/>
    <cellStyle name="Normal 2 5 5 3 2" xfId="588"/>
    <cellStyle name="Normal 2 5 5 3 3" xfId="383"/>
    <cellStyle name="Normal 2 5 5 4" xfId="483"/>
    <cellStyle name="Normal 2 5 5 5" xfId="324"/>
    <cellStyle name="Normal 2 5 6" xfId="189"/>
    <cellStyle name="Normal 2 5 6 2" xfId="517"/>
    <cellStyle name="Normal 2 5 6 3" xfId="417"/>
    <cellStyle name="Normal 2 5 7" xfId="242"/>
    <cellStyle name="Normal 2 5 7 2" xfId="565"/>
    <cellStyle name="Normal 2 5 7 3" xfId="360"/>
    <cellStyle name="Normal 2 5 8" xfId="299"/>
    <cellStyle name="Normal 2 5 8 2" xfId="621"/>
    <cellStyle name="Normal 2 5 9" xfId="460"/>
    <cellStyle name="Normal 2 6" xfId="303"/>
    <cellStyle name="Normal 20" xfId="112"/>
    <cellStyle name="Normal 21" xfId="113"/>
    <cellStyle name="Normal 22" xfId="114"/>
    <cellStyle name="Normal 23" xfId="115"/>
    <cellStyle name="Normal 24" xfId="17"/>
    <cellStyle name="Normal 25" xfId="100"/>
    <cellStyle name="Normal 26" xfId="101"/>
    <cellStyle name="Normal 27" xfId="78"/>
    <cellStyle name="Normal 28" xfId="79"/>
    <cellStyle name="Normal 29" xfId="80"/>
    <cellStyle name="Normal 3" xfId="2"/>
    <cellStyle name="Normal 3 2" xfId="48"/>
    <cellStyle name="Normal 3 2 2" xfId="306"/>
    <cellStyle name="Normal 3 2 2 2" xfId="625"/>
    <cellStyle name="Normal 3 3" xfId="162"/>
    <cellStyle name="Normal 30" xfId="81"/>
    <cellStyle name="Normal 31" xfId="82"/>
    <cellStyle name="Normal 32" xfId="83"/>
    <cellStyle name="Normal 33" xfId="84"/>
    <cellStyle name="Normal 34" xfId="85"/>
    <cellStyle name="Normal 35" xfId="86"/>
    <cellStyle name="Normal 36" xfId="87"/>
    <cellStyle name="Normal 37" xfId="88"/>
    <cellStyle name="Normal 38" xfId="18"/>
    <cellStyle name="Normal 39" xfId="89"/>
    <cellStyle name="Normal 4" xfId="28"/>
    <cellStyle name="Normal 4 2" xfId="122"/>
    <cellStyle name="Normal 4 2 2" xfId="305"/>
    <cellStyle name="Normal 4 3" xfId="29"/>
    <cellStyle name="Normal 4 4" xfId="300"/>
    <cellStyle name="Normal 4 4 2" xfId="622"/>
    <cellStyle name="Normal 40" xfId="90"/>
    <cellStyle name="Normal 41" xfId="91"/>
    <cellStyle name="Normal 42" xfId="92"/>
    <cellStyle name="Normal 43" xfId="93"/>
    <cellStyle name="Normal 44" xfId="94"/>
    <cellStyle name="Normal 45" xfId="95"/>
    <cellStyle name="Normal 46" xfId="96"/>
    <cellStyle name="Normal 47" xfId="97"/>
    <cellStyle name="Normal 48" xfId="98"/>
    <cellStyle name="Normal 49" xfId="102"/>
    <cellStyle name="Normal 5" xfId="3"/>
    <cellStyle name="Normal 5 2" xfId="120"/>
    <cellStyle name="Normal 5 2 2" xfId="133"/>
    <cellStyle name="Normal 5 2 2 2" xfId="175"/>
    <cellStyle name="Normal 5 2 2 2 2" xfId="287"/>
    <cellStyle name="Normal 5 2 2 2 2 2" xfId="609"/>
    <cellStyle name="Normal 5 2 2 2 2 3" xfId="405"/>
    <cellStyle name="Normal 5 2 2 2 3" xfId="230"/>
    <cellStyle name="Normal 5 2 2 2 4" xfId="505"/>
    <cellStyle name="Normal 5 2 2 3" xfId="222"/>
    <cellStyle name="Normal 5 2 2 3 2" xfId="548"/>
    <cellStyle name="Normal 5 2 2 3 3" xfId="448"/>
    <cellStyle name="Normal 5 2 2 4" xfId="348"/>
    <cellStyle name="Normal 5 2 3" xfId="212"/>
    <cellStyle name="Normal 5 2 4" xfId="193"/>
    <cellStyle name="Normal 5 2 4 2" xfId="521"/>
    <cellStyle name="Normal 5 2 4 3" xfId="421"/>
    <cellStyle name="Normal 5 2 5" xfId="248"/>
    <cellStyle name="Normal 5 2 5 2" xfId="571"/>
    <cellStyle name="Normal 5 2 5 3" xfId="366"/>
    <cellStyle name="Normal 5 2 6" xfId="307"/>
    <cellStyle name="Normal 5 2 6 2" xfId="626"/>
    <cellStyle name="Normal 5 2 7" xfId="466"/>
    <cellStyle name="Normal 5 3" xfId="107"/>
    <cellStyle name="Normal 5 3 2" xfId="167"/>
    <cellStyle name="Normal 5 3 2 2" xfId="279"/>
    <cellStyle name="Normal 5 3 2 2 2" xfId="601"/>
    <cellStyle name="Normal 5 3 2 2 3" xfId="397"/>
    <cellStyle name="Normal 5 3 2 3" xfId="233"/>
    <cellStyle name="Normal 5 3 2 3 2" xfId="558"/>
    <cellStyle name="Normal 5 3 2 4" xfId="497"/>
    <cellStyle name="Normal 5 3 2 5" xfId="340"/>
    <cellStyle name="Normal 5 3 3" xfId="214"/>
    <cellStyle name="Normal 5 3 3 2" xfId="540"/>
    <cellStyle name="Normal 5 3 3 3" xfId="440"/>
    <cellStyle name="Normal 5 3 4" xfId="244"/>
    <cellStyle name="Normal 5 3 4 2" xfId="567"/>
    <cellStyle name="Normal 5 3 4 3" xfId="362"/>
    <cellStyle name="Normal 5 3 5" xfId="462"/>
    <cellStyle name="Normal 5 3 6" xfId="315"/>
    <cellStyle name="Normal 5 4" xfId="161"/>
    <cellStyle name="Normal 5 4 2" xfId="211"/>
    <cellStyle name="Normal 5 4 2 2" xfId="539"/>
    <cellStyle name="Normal 5 4 2 3" xfId="439"/>
    <cellStyle name="Normal 5 4 3" xfId="277"/>
    <cellStyle name="Normal 5 4 3 2" xfId="600"/>
    <cellStyle name="Normal 5 4 3 3" xfId="396"/>
    <cellStyle name="Normal 5 4 4" xfId="496"/>
    <cellStyle name="Normal 5 4 5" xfId="337"/>
    <cellStyle name="Normal 5 5" xfId="149"/>
    <cellStyle name="Normal 5 5 2" xfId="199"/>
    <cellStyle name="Normal 5 5 2 2" xfId="527"/>
    <cellStyle name="Normal 5 5 2 3" xfId="427"/>
    <cellStyle name="Normal 5 5 3" xfId="266"/>
    <cellStyle name="Normal 5 5 3 2" xfId="589"/>
    <cellStyle name="Normal 5 5 3 3" xfId="384"/>
    <cellStyle name="Normal 5 5 4" xfId="484"/>
    <cellStyle name="Normal 5 5 5" xfId="325"/>
    <cellStyle name="Normal 5 6" xfId="190"/>
    <cellStyle name="Normal 5 6 2" xfId="518"/>
    <cellStyle name="Normal 5 6 3" xfId="418"/>
    <cellStyle name="Normal 5 7" xfId="302"/>
    <cellStyle name="Normal 5 7 2" xfId="623"/>
    <cellStyle name="Normal 5 8" xfId="314"/>
    <cellStyle name="Normal 50" xfId="103"/>
    <cellStyle name="Normal 51" xfId="104"/>
    <cellStyle name="Normal 52" xfId="99"/>
    <cellStyle name="Normal 53" xfId="14"/>
    <cellStyle name="Normal 54" xfId="15"/>
    <cellStyle name="Normal 55" xfId="16"/>
    <cellStyle name="Normal 56" xfId="56"/>
    <cellStyle name="Normal 57" xfId="39"/>
    <cellStyle name="Normal 57 10" xfId="294"/>
    <cellStyle name="Normal 57 10 2" xfId="616"/>
    <cellStyle name="Normal 57 11" xfId="455"/>
    <cellStyle name="Normal 57 12" xfId="310"/>
    <cellStyle name="Normal 57 2" xfId="49"/>
    <cellStyle name="Normal 57 3" xfId="124"/>
    <cellStyle name="Normal 57 3 2" xfId="168"/>
    <cellStyle name="Normal 57 3 2 2" xfId="215"/>
    <cellStyle name="Normal 57 3 2 2 2" xfId="541"/>
    <cellStyle name="Normal 57 3 2 2 3" xfId="441"/>
    <cellStyle name="Normal 57 3 2 3" xfId="280"/>
    <cellStyle name="Normal 57 3 2 3 2" xfId="602"/>
    <cellStyle name="Normal 57 3 2 3 3" xfId="398"/>
    <cellStyle name="Normal 57 3 2 4" xfId="498"/>
    <cellStyle name="Normal 57 3 2 5" xfId="341"/>
    <cellStyle name="Normal 57 3 3" xfId="151"/>
    <cellStyle name="Normal 57 3 3 2" xfId="201"/>
    <cellStyle name="Normal 57 3 3 2 2" xfId="529"/>
    <cellStyle name="Normal 57 3 3 2 3" xfId="429"/>
    <cellStyle name="Normal 57 3 3 3" xfId="268"/>
    <cellStyle name="Normal 57 3 3 3 2" xfId="591"/>
    <cellStyle name="Normal 57 3 3 3 3" xfId="386"/>
    <cellStyle name="Normal 57 3 3 4" xfId="486"/>
    <cellStyle name="Normal 57 3 3 5" xfId="327"/>
    <cellStyle name="Normal 57 3 4" xfId="195"/>
    <cellStyle name="Normal 57 3 4 2" xfId="523"/>
    <cellStyle name="Normal 57 3 4 3" xfId="423"/>
    <cellStyle name="Normal 57 3 5" xfId="250"/>
    <cellStyle name="Normal 57 3 5 2" xfId="573"/>
    <cellStyle name="Normal 57 3 5 3" xfId="368"/>
    <cellStyle name="Normal 57 3 6" xfId="468"/>
    <cellStyle name="Normal 57 3 7" xfId="316"/>
    <cellStyle name="Normal 57 4" xfId="117"/>
    <cellStyle name="Normal 57 4 2" xfId="157"/>
    <cellStyle name="Normal 57 4 2 2" xfId="207"/>
    <cellStyle name="Normal 57 4 2 2 2" xfId="535"/>
    <cellStyle name="Normal 57 4 2 2 3" xfId="435"/>
    <cellStyle name="Normal 57 4 2 3" xfId="492"/>
    <cellStyle name="Normal 57 4 2 4" xfId="392"/>
    <cellStyle name="Normal 57 4 3" xfId="192"/>
    <cellStyle name="Normal 57 4 3 2" xfId="520"/>
    <cellStyle name="Normal 57 4 3 3" xfId="420"/>
    <cellStyle name="Normal 57 4 4" xfId="246"/>
    <cellStyle name="Normal 57 4 4 2" xfId="569"/>
    <cellStyle name="Normal 57 4 4 3" xfId="364"/>
    <cellStyle name="Normal 57 4 5" xfId="464"/>
    <cellStyle name="Normal 57 4 6" xfId="333"/>
    <cellStyle name="Normal 57 5" xfId="106"/>
    <cellStyle name="Normal 57 5 2" xfId="176"/>
    <cellStyle name="Normal 57 5 2 2" xfId="288"/>
    <cellStyle name="Normal 57 5 2 2 2" xfId="610"/>
    <cellStyle name="Normal 57 5 2 3" xfId="506"/>
    <cellStyle name="Normal 57 5 2 4" xfId="406"/>
    <cellStyle name="Normal 57 5 3" xfId="223"/>
    <cellStyle name="Normal 57 5 3 2" xfId="549"/>
    <cellStyle name="Normal 57 5 3 3" xfId="449"/>
    <cellStyle name="Normal 57 5 4" xfId="243"/>
    <cellStyle name="Normal 57 5 4 2" xfId="566"/>
    <cellStyle name="Normal 57 5 4 3" xfId="361"/>
    <cellStyle name="Normal 57 5 5" xfId="461"/>
    <cellStyle name="Normal 57 5 6" xfId="349"/>
    <cellStyle name="Normal 57 6" xfId="141"/>
    <cellStyle name="Normal 57 6 2" xfId="197"/>
    <cellStyle name="Normal 57 6 2 2" xfId="525"/>
    <cellStyle name="Normal 57 6 2 3" xfId="425"/>
    <cellStyle name="Normal 57 6 3" xfId="261"/>
    <cellStyle name="Normal 57 6 3 2" xfId="584"/>
    <cellStyle name="Normal 57 6 3 3" xfId="379"/>
    <cellStyle name="Normal 57 6 4" xfId="479"/>
    <cellStyle name="Normal 57 6 5" xfId="323"/>
    <cellStyle name="Normal 57 7" xfId="147"/>
    <cellStyle name="Normal 57 7 2" xfId="264"/>
    <cellStyle name="Normal 57 7 2 2" xfId="587"/>
    <cellStyle name="Normal 57 7 3" xfId="482"/>
    <cellStyle name="Normal 57 7 4" xfId="382"/>
    <cellStyle name="Normal 57 8" xfId="184"/>
    <cellStyle name="Normal 57 8 2" xfId="512"/>
    <cellStyle name="Normal 57 8 3" xfId="412"/>
    <cellStyle name="Normal 57 9" xfId="237"/>
    <cellStyle name="Normal 57 9 2" xfId="560"/>
    <cellStyle name="Normal 57 9 3" xfId="355"/>
    <cellStyle name="Normal 58" xfId="51"/>
    <cellStyle name="Normal 58 10" xfId="456"/>
    <cellStyle name="Normal 58 11" xfId="312"/>
    <cellStyle name="Normal 58 2" xfId="50"/>
    <cellStyle name="Normal 58 3" xfId="125"/>
    <cellStyle name="Normal 58 3 2" xfId="169"/>
    <cellStyle name="Normal 58 3 2 2" xfId="281"/>
    <cellStyle name="Normal 58 3 2 2 2" xfId="603"/>
    <cellStyle name="Normal 58 3 2 2 3" xfId="399"/>
    <cellStyle name="Normal 58 3 2 3" xfId="235"/>
    <cellStyle name="Normal 58 3 2 3 2" xfId="559"/>
    <cellStyle name="Normal 58 3 2 4" xfId="499"/>
    <cellStyle name="Normal 58 3 2 5" xfId="342"/>
    <cellStyle name="Normal 58 3 3" xfId="216"/>
    <cellStyle name="Normal 58 3 3 2" xfId="542"/>
    <cellStyle name="Normal 58 3 3 3" xfId="442"/>
    <cellStyle name="Normal 58 3 4" xfId="251"/>
    <cellStyle name="Normal 58 3 4 2" xfId="574"/>
    <cellStyle name="Normal 58 3 4 3" xfId="369"/>
    <cellStyle name="Normal 58 3 5" xfId="469"/>
    <cellStyle name="Normal 58 3 6" xfId="317"/>
    <cellStyle name="Normal 58 4" xfId="142"/>
    <cellStyle name="Normal 58 4 2" xfId="159"/>
    <cellStyle name="Normal 58 4 2 2" xfId="275"/>
    <cellStyle name="Normal 58 4 2 2 2" xfId="598"/>
    <cellStyle name="Normal 58 4 2 3" xfId="494"/>
    <cellStyle name="Normal 58 4 2 4" xfId="394"/>
    <cellStyle name="Normal 58 4 3" xfId="209"/>
    <cellStyle name="Normal 58 4 3 2" xfId="537"/>
    <cellStyle name="Normal 58 4 3 3" xfId="437"/>
    <cellStyle name="Normal 58 4 4" xfId="262"/>
    <cellStyle name="Normal 58 4 4 2" xfId="585"/>
    <cellStyle name="Normal 58 4 4 3" xfId="380"/>
    <cellStyle name="Normal 58 4 5" xfId="480"/>
    <cellStyle name="Normal 58 4 6" xfId="335"/>
    <cellStyle name="Normal 58 5" xfId="177"/>
    <cellStyle name="Normal 58 5 2" xfId="224"/>
    <cellStyle name="Normal 58 5 2 2" xfId="550"/>
    <cellStyle name="Normal 58 5 2 3" xfId="450"/>
    <cellStyle name="Normal 58 5 3" xfId="289"/>
    <cellStyle name="Normal 58 5 3 2" xfId="611"/>
    <cellStyle name="Normal 58 5 3 3" xfId="407"/>
    <cellStyle name="Normal 58 5 4" xfId="507"/>
    <cellStyle name="Normal 58 5 5" xfId="350"/>
    <cellStyle name="Normal 58 6" xfId="152"/>
    <cellStyle name="Normal 58 6 2" xfId="202"/>
    <cellStyle name="Normal 58 6 2 2" xfId="530"/>
    <cellStyle name="Normal 58 6 2 3" xfId="430"/>
    <cellStyle name="Normal 58 6 3" xfId="269"/>
    <cellStyle name="Normal 58 6 3 2" xfId="592"/>
    <cellStyle name="Normal 58 6 3 3" xfId="387"/>
    <cellStyle name="Normal 58 6 4" xfId="487"/>
    <cellStyle name="Normal 58 6 5" xfId="328"/>
    <cellStyle name="Normal 58 7" xfId="185"/>
    <cellStyle name="Normal 58 7 2" xfId="513"/>
    <cellStyle name="Normal 58 7 3" xfId="413"/>
    <cellStyle name="Normal 58 8" xfId="238"/>
    <cellStyle name="Normal 58 8 2" xfId="561"/>
    <cellStyle name="Normal 58 8 3" xfId="356"/>
    <cellStyle name="Normal 58 9" xfId="295"/>
    <cellStyle name="Normal 58 9 2" xfId="617"/>
    <cellStyle name="Normal 59" xfId="58"/>
    <cellStyle name="Normal 6" xfId="40"/>
    <cellStyle name="Normal 6 2 2" xfId="57"/>
    <cellStyle name="Normal 6_sreb progression tab 2 redo" xfId="47"/>
    <cellStyle name="Normal 60" xfId="69"/>
    <cellStyle name="Normal 61" xfId="70"/>
    <cellStyle name="Normal 62" xfId="105"/>
    <cellStyle name="Normal 63" xfId="137"/>
    <cellStyle name="Normal 63 2" xfId="257"/>
    <cellStyle name="Normal 63 2 2" xfId="580"/>
    <cellStyle name="Normal 63 2 3" xfId="375"/>
    <cellStyle name="Normal 63 3" xfId="232"/>
    <cellStyle name="Normal 63 3 2" xfId="557"/>
    <cellStyle name="Normal 63 4" xfId="475"/>
    <cellStyle name="Normal 63 5" xfId="339"/>
    <cellStyle name="Normal 64" xfId="144"/>
    <cellStyle name="Normal 65" xfId="146"/>
    <cellStyle name="Normal 66" xfId="145"/>
    <cellStyle name="Normal 67" xfId="182"/>
    <cellStyle name="Normal 68" xfId="183"/>
    <cellStyle name="Normal 69" xfId="213"/>
    <cellStyle name="Normal 7" xfId="55"/>
    <cellStyle name="Normal 7 2" xfId="128"/>
    <cellStyle name="Normal 7 2 2" xfId="172"/>
    <cellStyle name="Normal 7 2 2 2" xfId="284"/>
    <cellStyle name="Normal 7 2 2 2 2" xfId="606"/>
    <cellStyle name="Normal 7 2 2 3" xfId="502"/>
    <cellStyle name="Normal 7 2 2 4" xfId="402"/>
    <cellStyle name="Normal 7 2 3" xfId="219"/>
    <cellStyle name="Normal 7 2 3 2" xfId="545"/>
    <cellStyle name="Normal 7 2 3 3" xfId="445"/>
    <cellStyle name="Normal 7 2 4" xfId="254"/>
    <cellStyle name="Normal 7 2 4 2" xfId="577"/>
    <cellStyle name="Normal 7 2 4 3" xfId="372"/>
    <cellStyle name="Normal 7 2 5" xfId="472"/>
    <cellStyle name="Normal 7 2 6" xfId="345"/>
    <cellStyle name="Normal 7 3" xfId="143"/>
    <cellStyle name="Normal 7 3 2" xfId="180"/>
    <cellStyle name="Normal 7 3 2 2" xfId="292"/>
    <cellStyle name="Normal 7 3 2 2 2" xfId="614"/>
    <cellStyle name="Normal 7 3 2 3" xfId="510"/>
    <cellStyle name="Normal 7 3 2 4" xfId="410"/>
    <cellStyle name="Normal 7 3 3" xfId="227"/>
    <cellStyle name="Normal 7 3 3 2" xfId="553"/>
    <cellStyle name="Normal 7 3 3 3" xfId="453"/>
    <cellStyle name="Normal 7 3 4" xfId="263"/>
    <cellStyle name="Normal 7 3 4 2" xfId="586"/>
    <cellStyle name="Normal 7 3 4 3" xfId="381"/>
    <cellStyle name="Normal 7 3 5" xfId="481"/>
    <cellStyle name="Normal 7 3 6" xfId="353"/>
    <cellStyle name="Normal 7 4" xfId="155"/>
    <cellStyle name="Normal 7 4 2" xfId="205"/>
    <cellStyle name="Normal 7 4 2 2" xfId="533"/>
    <cellStyle name="Normal 7 4 2 3" xfId="433"/>
    <cellStyle name="Normal 7 4 3" xfId="272"/>
    <cellStyle name="Normal 7 4 3 2" xfId="595"/>
    <cellStyle name="Normal 7 4 3 3" xfId="390"/>
    <cellStyle name="Normal 7 4 4" xfId="490"/>
    <cellStyle name="Normal 7 4 5" xfId="331"/>
    <cellStyle name="Normal 7 5" xfId="188"/>
    <cellStyle name="Normal 7 5 2" xfId="516"/>
    <cellStyle name="Normal 7 5 3" xfId="416"/>
    <cellStyle name="Normal 7 6" xfId="241"/>
    <cellStyle name="Normal 7 6 2" xfId="564"/>
    <cellStyle name="Normal 7 6 3" xfId="359"/>
    <cellStyle name="Normal 7 7" xfId="298"/>
    <cellStyle name="Normal 7 7 2" xfId="620"/>
    <cellStyle name="Normal 7 8" xfId="459"/>
    <cellStyle name="Normal 7 9" xfId="320"/>
    <cellStyle name="Normal 70" xfId="308"/>
    <cellStyle name="Normal 71" xfId="63"/>
    <cellStyle name="Normal 72" xfId="64"/>
    <cellStyle name="Normal 73" xfId="309"/>
    <cellStyle name="Normal 8" xfId="19"/>
    <cellStyle name="Normal 8 2" xfId="43"/>
    <cellStyle name="Normal 8 3" xfId="165"/>
    <cellStyle name="Normal 83" xfId="65"/>
    <cellStyle name="Normal 84" xfId="66"/>
    <cellStyle name="Normal 86" xfId="67"/>
    <cellStyle name="Normal 9" xfId="20"/>
    <cellStyle name="Normal 9 2" xfId="304"/>
    <cellStyle name="Normal 9 2 2" xfId="624"/>
    <cellStyle name="Normal 98" xfId="68"/>
    <cellStyle name="Normal_03SCH&amp;FTE05" xfId="34"/>
    <cellStyle name="Normal_03TTA09mastersurvey" xfId="26"/>
    <cellStyle name="Normal_04SCH-FTE09mastersurvey" xfId="4"/>
    <cellStyle name="Normal_Degree02 Form" xfId="33"/>
    <cellStyle name="Normal_Degree02 Form 2" xfId="24"/>
    <cellStyle name="Normal_Degree02 Form 3" xfId="109"/>
    <cellStyle name="Normal_Degrees02 Form" xfId="31"/>
    <cellStyle name="Normal_Degrees02 Form 2" xfId="32"/>
    <cellStyle name="Normal_Degrees02 Form 3" xfId="118"/>
    <cellStyle name="Normal_SCH&amp;FTE02 Form" xfId="5"/>
    <cellStyle name="Normal_SCH&amp;FTE03 Form" xfId="6"/>
    <cellStyle name="Normal_StProg01B 2" xfId="27"/>
    <cellStyle name="Normal_StProg02 Form" xfId="30"/>
    <cellStyle name="Percent" xfId="7" builtinId="5"/>
    <cellStyle name="Percent 2" xfId="36"/>
    <cellStyle name="Percent 2 2" xfId="72"/>
    <cellStyle name="Percent 2 2 2" xfId="135"/>
    <cellStyle name="Percent 2 2 3" xfId="234"/>
    <cellStyle name="Percent 3" xfId="37"/>
    <cellStyle name="Percent 4" xfId="41"/>
    <cellStyle name="Percent 5" xfId="123"/>
    <cellStyle name="questionable" xfId="8"/>
    <cellStyle name="questionable 2" xfId="110"/>
    <cellStyle name="review" xfId="9"/>
  </cellStyles>
  <dxfs count="602">
    <dxf>
      <font>
        <b/>
        <i val="0"/>
        <condense val="0"/>
        <extend val="0"/>
        <color indexed="10"/>
      </font>
    </dxf>
    <dxf>
      <font>
        <b/>
        <i val="0"/>
        <condense val="0"/>
        <extend val="0"/>
        <color indexed="10"/>
      </font>
    </dxf>
    <dxf>
      <font>
        <b/>
        <i val="0"/>
        <color rgb="FFFF0000"/>
      </font>
    </dxf>
    <dxf>
      <font>
        <b/>
        <i val="0"/>
        <color rgb="FFFF000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5" tint="0.59999389629810485"/>
        </patternFill>
      </fill>
    </dxf>
    <dxf>
      <fill>
        <patternFill patternType="solid">
          <bgColor theme="5" tint="0.59999389629810485"/>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4" formatCode="0.00%"/>
    </dxf>
    <dxf>
      <numFmt numFmtId="14" formatCode="0.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patternType="solid">
          <bgColor theme="0" tint="-0.14999847407452621"/>
        </patternFill>
      </fill>
    </dxf>
    <dxf>
      <fill>
        <patternFill patternType="solid">
          <bgColor theme="1" tint="0.499984740745262"/>
        </patternFill>
      </fill>
    </dxf>
    <dxf>
      <fill>
        <patternFill patternType="solid">
          <bgColor theme="1" tint="0.34998626667073579"/>
        </patternFill>
      </fill>
    </dxf>
    <dxf>
      <fill>
        <patternFill patternType="solid">
          <bgColor theme="0" tint="-0.14999847407452621"/>
        </patternFill>
      </fill>
    </dxf>
    <dxf>
      <fill>
        <patternFill patternType="solid">
          <bgColor theme="0" tint="-0.249977111117893"/>
        </patternFill>
      </fill>
    </dxf>
    <dxf>
      <numFmt numFmtId="14" formatCode="0.00%"/>
    </dxf>
    <dxf>
      <fill>
        <patternFill>
          <bgColor theme="5" tint="0.59999389629810485"/>
        </patternFill>
      </fill>
    </dxf>
    <dxf>
      <fill>
        <patternFill>
          <bgColor theme="5" tint="0.59999389629810485"/>
        </patternFill>
      </fill>
    </dxf>
    <dxf>
      <fill>
        <patternFill patternType="solid">
          <bgColor theme="5" tint="0.59999389629810485"/>
        </patternFill>
      </fill>
    </dxf>
    <dxf>
      <numFmt numFmtId="168" formatCode="0.0%"/>
    </dxf>
    <dxf>
      <numFmt numFmtId="166" formatCode="#,##0.0"/>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border>
        <left style="thin">
          <color indexed="64"/>
        </left>
        <right style="thin">
          <color indexed="64"/>
        </right>
        <bottom style="thin">
          <color indexed="64"/>
        </bottom>
      </border>
    </dxf>
    <dxf>
      <fill>
        <patternFill patternType="solid">
          <bgColor theme="5" tint="0.79998168889431442"/>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68" formatCode="0.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4" formatCode="0.00%"/>
    </dxf>
    <dxf>
      <numFmt numFmtId="14" formatCode="0.00%"/>
    </dxf>
    <dxf>
      <numFmt numFmtId="14" formatCode="0.00%"/>
    </dxf>
    <dxf>
      <numFmt numFmtId="14" formatCode="0.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border>
        <top style="thin">
          <color indexed="64"/>
        </top>
      </border>
    </dxf>
    <dxf>
      <numFmt numFmtId="168" formatCode="0.0%"/>
    </dxf>
    <dxf>
      <border>
        <top style="thin">
          <color indexed="64"/>
        </top>
      </border>
    </dxf>
    <dxf>
      <font>
        <color rgb="FFC00000"/>
      </font>
    </dxf>
    <dxf>
      <font>
        <b/>
      </font>
      <numFmt numFmtId="168" formatCode="0.0%"/>
    </dxf>
    <dxf>
      <font>
        <b/>
      </font>
      <numFmt numFmtId="168" formatCode="0.0%"/>
    </dxf>
    <dxf>
      <numFmt numFmtId="168" formatCode="0.0%"/>
    </dxf>
    <dxf>
      <font>
        <b/>
      </font>
    </dxf>
    <dxf>
      <font>
        <b/>
      </font>
    </dxf>
    <dxf>
      <font>
        <b/>
      </font>
    </dxf>
    <dxf>
      <font>
        <b/>
      </font>
    </dxf>
    <dxf>
      <font>
        <b/>
      </font>
    </dxf>
    <dxf>
      <font>
        <b/>
      </font>
    </dxf>
    <dxf>
      <font>
        <b/>
      </font>
    </dxf>
    <dxf>
      <font>
        <b/>
      </font>
    </dxf>
    <dxf>
      <font>
        <color rgb="FFC00000"/>
      </font>
    </dxf>
    <dxf>
      <font>
        <color rgb="FFC00000"/>
      </font>
    </dxf>
    <dxf>
      <font>
        <b/>
      </font>
    </dxf>
    <dxf>
      <font>
        <b/>
      </font>
    </dxf>
    <dxf>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numFmt numFmtId="168" formatCode="0.0%"/>
    </dxf>
    <dxf>
      <font>
        <b/>
      </font>
    </dxf>
    <dxf>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font>
        <b/>
        <sz val="10"/>
      </font>
      <numFmt numFmtId="168" formatCode="0.0%"/>
    </dxf>
    <dxf>
      <numFmt numFmtId="168" formatCode="0.0%"/>
    </dxf>
    <dxf>
      <font>
        <b/>
      </font>
    </dxf>
    <dxf>
      <font>
        <b/>
      </font>
    </dxf>
    <dxf>
      <border>
        <bottom/>
      </border>
    </dxf>
    <dxf>
      <border>
        <bottom/>
      </border>
    </dxf>
    <dxf>
      <border>
        <bottom/>
      </border>
    </dxf>
    <dxf>
      <border>
        <bottom/>
      </border>
    </dxf>
    <dxf>
      <border>
        <bottom/>
      </border>
    </dxf>
    <dxf>
      <border>
        <bottom/>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b/>
      </font>
    </dxf>
    <dxf>
      <font>
        <sz val="10"/>
      </font>
    </dxf>
    <dxf>
      <border>
        <bottom style="thin">
          <color indexed="64"/>
        </bottom>
      </border>
    </dxf>
    <dxf>
      <border>
        <bottom style="thin">
          <color indexed="64"/>
        </bottom>
      </border>
    </dxf>
    <dxf>
      <border>
        <bottom style="thin">
          <color indexed="64"/>
        </bottom>
      </border>
    </dxf>
    <dxf>
      <numFmt numFmtId="13" formatCode="0%"/>
    </dxf>
    <dxf>
      <font>
        <b/>
      </font>
    </dxf>
    <dxf>
      <numFmt numFmtId="168" formatCode="0.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numFmt numFmtId="14" formatCode="0.00%"/>
    </dxf>
    <dxf>
      <font>
        <b/>
      </font>
    </dxf>
    <dxf>
      <font>
        <b/>
      </font>
    </dxf>
    <dxf>
      <font>
        <b/>
      </font>
    </dxf>
    <dxf>
      <font>
        <b/>
      </font>
    </dxf>
    <dxf>
      <fill>
        <patternFill patternType="solid">
          <bgColor theme="5" tint="0.599993896298104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none">
          <bgColor auto="1"/>
        </patternFill>
      </fill>
    </dxf>
    <dxf>
      <fill>
        <patternFill>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border>
        <bottom style="thin">
          <color indexed="64"/>
        </bottom>
      </border>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ont>
        <b/>
      </font>
    </dxf>
    <dxf>
      <numFmt numFmtId="168" formatCode="0.0%"/>
      <alignment horizontal="right" readingOrder="0"/>
    </dxf>
    <dxf>
      <numFmt numFmtId="168" formatCode="0.0%"/>
    </dxf>
    <dxf>
      <numFmt numFmtId="168" formatCode="0.0%"/>
    </dxf>
    <dxf>
      <border>
        <right/>
        <top/>
        <bottom/>
      </border>
    </dxf>
    <dxf>
      <fill>
        <patternFill patternType="none">
          <bgColor auto="1"/>
        </patternFill>
      </fill>
    </dxf>
    <dxf>
      <fill>
        <patternFill patternType="solid">
          <bgColor theme="0" tint="-0.249977111117893"/>
        </patternFill>
      </fill>
    </dxf>
    <dxf>
      <fill>
        <patternFill>
          <bgColor theme="0" tint="-0.249977111117893"/>
        </patternFill>
      </fill>
    </dxf>
    <dxf>
      <fill>
        <patternFill patternType="solid">
          <fgColor indexed="64"/>
          <bgColor theme="0"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border>
        <left style="thin">
          <color indexed="64"/>
        </left>
        <right style="thin">
          <color indexed="64"/>
        </right>
        <top style="thin">
          <color indexed="64"/>
        </top>
        <bottom style="thin">
          <color indexed="64"/>
        </bottom>
      </border>
    </dxf>
    <dxf>
      <fill>
        <patternFill patternType="solid">
          <bgColor theme="5" tint="0.79998168889431442"/>
        </patternFill>
      </fill>
    </dxf>
    <dxf>
      <fill>
        <patternFill patternType="solid">
          <fgColor indexed="64"/>
          <bgColor theme="5" tint="0.79998168889431442"/>
        </patternFill>
      </fill>
    </dxf>
    <dxf>
      <border>
        <right style="thin">
          <color indexed="64"/>
        </right>
        <top style="thin">
          <color indexed="64"/>
        </top>
        <bottom style="thin">
          <color indexed="64"/>
        </bottom>
      </border>
    </dxf>
    <dxf>
      <fill>
        <patternFill patternType="solid">
          <bgColor theme="5" tint="0.79998168889431442"/>
        </patternFill>
      </fill>
    </dxf>
    <dxf>
      <font>
        <b/>
      </font>
    </dxf>
    <dxf>
      <font>
        <b/>
      </font>
    </dxf>
    <dxf>
      <font>
        <b/>
      </font>
    </dxf>
    <dxf>
      <font>
        <b/>
      </font>
    </dxf>
    <dxf>
      <font>
        <b/>
      </font>
    </dxf>
    <dxf>
      <font>
        <b/>
      </font>
    </dxf>
    <dxf>
      <font>
        <b/>
      </font>
    </dxf>
    <dxf>
      <font>
        <b/>
      </font>
    </dxf>
    <dxf>
      <font>
        <b/>
      </font>
    </dxf>
    <dxf>
      <font>
        <b/>
      </font>
    </dxf>
    <dxf>
      <font>
        <b/>
      </font>
    </dxf>
    <dxf>
      <font>
        <b/>
      </font>
    </dxf>
    <dxf>
      <border>
        <bottom style="thin">
          <color indexed="64"/>
        </bottom>
      </border>
    </dxf>
    <dxf>
      <border>
        <left style="thin">
          <color indexed="64"/>
        </left>
      </border>
    </dxf>
    <dxf>
      <border>
        <left/>
        <right/>
        <top/>
        <bottom/>
        <horizontal/>
      </border>
    </dxf>
    <dxf>
      <fill>
        <patternFill patternType="none">
          <bgColor auto="1"/>
        </patternFill>
      </fill>
    </dxf>
    <dxf>
      <fill>
        <patternFill patternType="none">
          <bgColor auto="1"/>
        </patternFill>
      </fill>
    </dxf>
    <dxf>
      <fill>
        <patternFill patternType="none">
          <bgColor auto="1"/>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numFmt numFmtId="168" formatCode="0.0%"/>
    </dxf>
    <dxf>
      <numFmt numFmtId="168" formatCode="0.0%"/>
    </dxf>
    <dxf>
      <fill>
        <patternFill patternType="solid">
          <bgColor theme="5" tint="0.79998168889431442"/>
        </patternFill>
      </fill>
    </dxf>
    <dxf>
      <alignment wrapText="1" readingOrder="0"/>
    </dxf>
    <dxf>
      <alignment wrapText="1" readingOrder="0"/>
    </dxf>
    <dxf>
      <alignment wrapText="1" readingOrder="0"/>
    </dxf>
    <dxf>
      <border>
        <top style="thin">
          <color indexed="8"/>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alignment horizontal="right" readingOrder="0"/>
    </dxf>
    <dxf>
      <font>
        <b/>
      </font>
    </dxf>
    <dxf>
      <numFmt numFmtId="173" formatCode="_(* #,##0.0_);_(* \(#,##0.0\);_(* &quot;-&quot;??_);_(@_)"/>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sz val="10"/>
      </font>
      <numFmt numFmtId="165" formatCode="_(* #,##0_);_(* \(#,##0\);_(* &quot;-&quot;??_);_(@_)"/>
    </dxf>
    <dxf>
      <border>
        <bottom style="thin">
          <color indexed="64"/>
        </bottom>
      </border>
    </dxf>
    <dxf>
      <border>
        <bottom style="thin">
          <color indexed="64"/>
        </bottom>
      </border>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b/>
        <sz val="10"/>
      </font>
      <numFmt numFmtId="165" formatCode="_(* #,##0_);_(* \(#,##0\);_(* &quot;-&quot;??_);_(@_)"/>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fgColor indexed="49"/>
          <bgColor indexed="64"/>
        </patternFill>
      </fill>
    </dxf>
    <dxf>
      <fill>
        <patternFill patternType="solid">
          <bgColor indexed="49"/>
        </patternFill>
      </fill>
    </dxf>
    <dxf>
      <border>
        <top style="thin">
          <color indexed="8"/>
        </top>
      </border>
    </dxf>
    <dxf>
      <border>
        <left style="thin">
          <color indexed="64"/>
        </left>
      </border>
    </dxf>
    <dxf>
      <border>
        <left/>
      </border>
    </dxf>
    <dxf>
      <border>
        <left style="thin">
          <color indexed="64"/>
        </left>
      </border>
    </dxf>
    <dxf>
      <fill>
        <patternFill patternType="none"/>
      </fill>
    </dxf>
    <dxf>
      <fill>
        <patternFill patternType="solid">
          <bgColor indexed="43"/>
        </patternFill>
      </fill>
    </dxf>
    <dxf>
      <font>
        <b val="0"/>
      </font>
    </dxf>
    <dxf>
      <font>
        <b val="0"/>
      </font>
    </dxf>
    <dxf>
      <font>
        <b/>
        <sz val="10"/>
      </font>
      <numFmt numFmtId="165" formatCode="_(* #,##0_);_(* \(#,##0\);_(* &quot;-&quot;??_);_(@_)"/>
    </dxf>
    <dxf>
      <font>
        <b/>
        <sz val="10"/>
      </font>
      <numFmt numFmtId="165" formatCode="_(* #,##0_);_(* \(#,##0\);_(* &quot;-&quot;??_);_(@_)"/>
    </dxf>
    <dxf>
      <font>
        <b/>
      </font>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alignment horizontal="general" readingOrder="0"/>
    </dxf>
    <dxf>
      <alignment horizontal="general" readingOrder="0"/>
    </dxf>
    <dxf>
      <alignment horizontal="general" readingOrder="0"/>
    </dxf>
    <dxf>
      <border>
        <bottom style="thin">
          <color indexed="64"/>
        </bottom>
      </border>
    </dxf>
    <dxf>
      <border>
        <bottom style="thin">
          <color indexed="64"/>
        </bottom>
      </border>
    </dxf>
    <dxf>
      <font>
        <sz val="10"/>
      </font>
      <numFmt numFmtId="165" formatCode="_(* #,##0_);_(* \(#,##0\);_(* &quot;-&quot;??_);_(@_)"/>
    </dxf>
    <dxf>
      <font>
        <sz val="10"/>
      </font>
      <numFmt numFmtId="165" formatCode="_(* #,##0_);_(* \(#,##0\);_(* &quot;-&quot;??_);_(@_)"/>
    </dxf>
    <dxf>
      <font>
        <sz val="10"/>
      </font>
      <numFmt numFmtId="165" formatCode="_(* #,##0_);_(* \(#,##0\);_(* &quot;-&quot;??_);_(@_)"/>
    </dxf>
    <dxf>
      <font>
        <sz val="10"/>
      </font>
    </dxf>
    <dxf>
      <alignment horizontal="right" readingOrder="0"/>
    </dxf>
    <dxf>
      <alignment horizontal="right" readingOrder="0"/>
    </dxf>
    <dxf>
      <alignment horizontal="right" readingOrder="0"/>
    </dxf>
    <dxf>
      <alignment horizontal="right" readingOrder="0"/>
    </dxf>
    <dxf>
      <alignment horizontal="right" readingOrder="0"/>
    </dxf>
    <dxf>
      <font>
        <color auto="1"/>
      </font>
    </dxf>
    <dxf>
      <border>
        <left style="thin">
          <color indexed="8"/>
        </left>
        <right style="thin">
          <color indexed="8"/>
        </right>
      </border>
    </dxf>
    <dxf>
      <border>
        <right style="thin">
          <color indexed="8"/>
        </right>
      </border>
    </dxf>
    <dxf>
      <border>
        <right style="thin">
          <color indexed="8"/>
        </right>
      </border>
    </dxf>
    <dxf>
      <border>
        <right style="thin">
          <color indexed="8"/>
        </right>
      </border>
    </dxf>
    <dxf>
      <border>
        <left style="thin">
          <color indexed="64"/>
        </left>
      </border>
    </dxf>
    <dxf>
      <border>
        <right style="thin">
          <color indexed="64"/>
        </right>
      </border>
    </dxf>
    <dxf>
      <border>
        <left/>
      </border>
    </dxf>
    <dxf>
      <alignment horizontal="general" readingOrder="0"/>
    </dxf>
    <dxf>
      <alignment horizontal="right" readingOrder="0"/>
    </dxf>
    <dxf>
      <alignment horizontal="center" readingOrder="0"/>
    </dxf>
    <dxf>
      <alignment horizontal="left" readingOrder="0"/>
    </dxf>
    <dxf>
      <alignment horizontal="general" readingOrder="0"/>
    </dxf>
    <dxf>
      <alignment horizontal="right" readingOrder="0"/>
    </dxf>
    <dxf>
      <alignment horizontal="general" readingOrder="0"/>
    </dxf>
    <dxf>
      <alignment horizontal="right" readingOrder="0"/>
    </dxf>
    <dxf>
      <alignment horizontal="left" readingOrder="0"/>
    </dxf>
    <dxf>
      <alignment horizontal="right" readingOrder="0"/>
    </dxf>
    <dxf>
      <font>
        <b/>
      </font>
    </dxf>
    <dxf>
      <font>
        <b/>
      </font>
    </dxf>
    <dxf>
      <font>
        <b/>
      </font>
    </dxf>
    <dxf>
      <alignment horizontal="general" readingOrder="0"/>
    </dxf>
    <dxf>
      <alignment horizontal="right" readingOrder="0"/>
    </dxf>
    <dxf>
      <numFmt numFmtId="166" formatCode="#,##0.0"/>
    </dxf>
    <dxf>
      <font>
        <b/>
      </font>
    </dxf>
    <dxf>
      <font>
        <b/>
      </font>
    </dxf>
    <dxf>
      <font>
        <b/>
      </font>
    </dxf>
    <dxf>
      <fill>
        <patternFill patternType="solid">
          <bgColor indexed="22"/>
        </patternFill>
      </fill>
    </dxf>
    <dxf>
      <fill>
        <patternFill patternType="solid">
          <bgColor indexed="22"/>
        </patternFill>
      </fill>
    </dxf>
    <dxf>
      <fill>
        <patternFill patternType="solid">
          <bgColor indexed="22"/>
        </patternFill>
      </fill>
    </dxf>
    <dxf>
      <font>
        <b/>
      </font>
    </dxf>
    <dxf>
      <font>
        <b/>
      </font>
    </dxf>
    <dxf>
      <font>
        <b/>
      </font>
    </dxf>
    <dxf>
      <numFmt numFmtId="165" formatCode="_(* #,##0_);_(* \(#,##0\);_(* &quot;-&quot;??_);_(@_)"/>
    </dxf>
    <dxf>
      <numFmt numFmtId="173" formatCode="_(* #,##0.0_);_(* \(#,##0.0\);_(* &quot;-&quot;??_);_(@_)"/>
    </dxf>
    <dxf>
      <numFmt numFmtId="35" formatCode="_(* #,##0.00_);_(* \(#,##0.00\);_(* &quot;-&quot;??_);_(@_)"/>
    </dxf>
    <dxf>
      <alignment horizontal="right" readingOrder="0"/>
    </dxf>
    <dxf>
      <alignment horizontal="right" readingOrder="0"/>
    </dxf>
    <dxf>
      <numFmt numFmtId="173" formatCode="_(* #,##0.0_);_(* \(#,##0.0\);_(* &quot;-&quot;??_);_(@_)"/>
    </dxf>
    <dxf>
      <alignment horizontal="right" readingOrder="0"/>
    </dxf>
    <dxf>
      <numFmt numFmtId="165" formatCode="_(* #,##0_);_(* \(#,##0\);_(* &quot;-&quot;??_);_(@_)"/>
    </dxf>
    <dxf>
      <numFmt numFmtId="173" formatCode="_(* #,##0.0_);_(* \(#,##0.0\);_(* &quot;-&quot;??_);_(@_)"/>
    </dxf>
    <dxf>
      <numFmt numFmtId="35" formatCode="_(* #,##0.00_);_(* \(#,##0.00\);_(* &quot;-&quot;??_);_(@_)"/>
    </dxf>
    <dxf>
      <font>
        <name val="Arial"/>
        <scheme val="none"/>
      </font>
    </dxf>
  </dxfs>
  <tableStyles count="0" defaultTableStyle="TableStyleMedium9" defaultPivotStyle="PivotStyleLight16"/>
  <colors>
    <mruColors>
      <color rgb="FFCCFFCC"/>
      <color rgb="FF00FFFF"/>
      <color rgb="FFFFFFCC"/>
      <color rgb="FF00FF00"/>
      <color rgb="FFB2A1C7"/>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isa Cowan" refreshedDate="41276.522969675927" createdVersion="3" refreshedVersion="4" minRefreshableVersion="3" recordCount="686">
  <cacheSource type="worksheet">
    <worksheetSource ref="A6:BA692" sheet="SCH Data"/>
  </cacheSource>
  <cacheFields count="64">
    <cacheField name="State" numFmtId="49">
      <sharedItems containsBlank="1" count="18">
        <s v="AL"/>
        <s v="AR"/>
        <s v="DE"/>
        <s v="FL"/>
        <s v="GA"/>
        <s v="KY"/>
        <s v="LA"/>
        <s v="MD"/>
        <s v="MS"/>
        <s v="NC"/>
        <s v="OK"/>
        <s v="SC"/>
        <s v="TN"/>
        <s v="TX"/>
        <s v="VA"/>
        <s v="WV"/>
        <m u="1"/>
        <s v="GA " u="1"/>
      </sharedItems>
    </cacheField>
    <cacheField name="Institution" numFmtId="0">
      <sharedItems containsBlank="1"/>
    </cacheField>
    <cacheField name="Note" numFmtId="0">
      <sharedItems containsBlank="1"/>
    </cacheField>
    <cacheField name="IPEDS ID #" numFmtId="0">
      <sharedItems containsBlank="1" containsMixedTypes="1" containsNumber="1" containsInteger="1" minValue="100654" maxValue="447689"/>
    </cacheField>
    <cacheField name="Category" numFmtId="0">
      <sharedItems containsMixedTypes="1" containsNumber="1" containsInteger="1" minValue="1" maxValue="15" count="19">
        <n v="1"/>
        <n v="2"/>
        <n v="3"/>
        <n v="4"/>
        <n v="5"/>
        <n v="6"/>
        <n v="8"/>
        <n v="9"/>
        <n v="10"/>
        <n v="12"/>
        <n v="13"/>
        <n v="7"/>
        <s v="99"/>
        <s v="08b"/>
        <s v="09b"/>
        <s v="10b"/>
        <n v="11"/>
        <n v="14" u="1"/>
        <n v="15" u="1"/>
      </sharedItems>
      <fieldGroup par="60"/>
    </cacheField>
    <cacheField name="Old-Term Code" numFmtId="165">
      <sharedItems containsBlank="1"/>
    </cacheField>
    <cacheField name="New-Term Code" numFmtId="165">
      <sharedItems containsBlank="1"/>
    </cacheField>
    <cacheField name="old-Winter Undg SCH" numFmtId="0">
      <sharedItems containsString="0" containsBlank="1" containsNumber="1" minValue="0" maxValue="532640"/>
    </cacheField>
    <cacheField name="new-Winter Undg SCH" numFmtId="0">
      <sharedItems containsString="0" containsBlank="1" containsNumber="1" minValue="0" maxValue="563364"/>
    </cacheField>
    <cacheField name="old-Spring Undg SCH" numFmtId="0">
      <sharedItems containsString="0" containsBlank="1" containsNumber="1" minValue="0" maxValue="1563385"/>
    </cacheField>
    <cacheField name="new-Spring Undg SCH" numFmtId="0">
      <sharedItems containsString="0" containsBlank="1" containsNumber="1" minValue="27" maxValue="1607648"/>
    </cacheField>
    <cacheField name="old-Summer Undg SCH" numFmtId="0">
      <sharedItems containsString="0" containsBlank="1" containsNumber="1" minValue="0" maxValue="476937"/>
    </cacheField>
    <cacheField name="new-Summer Undg SCH" numFmtId="0">
      <sharedItems containsString="0" containsBlank="1" containsNumber="1" minValue="0" maxValue="533413"/>
    </cacheField>
    <cacheField name="old-Fall Undg SCH" numFmtId="0">
      <sharedItems containsString="0" containsBlank="1" containsNumber="1" minValue="1066" maxValue="1685016"/>
    </cacheField>
    <cacheField name="new-Fall Undg SCH" numFmtId="0">
      <sharedItems containsString="0" containsBlank="1" containsNumber="1" minValue="1615" maxValue="1707250"/>
    </cacheField>
    <cacheField name="Old-Total Undg SCH" numFmtId="3">
      <sharedItems containsSemiMixedTypes="0" containsString="0" containsNumber="1" minValue="0" maxValue="3725338"/>
    </cacheField>
    <cacheField name="Old-Total Undg SCH FTE" numFmtId="3">
      <sharedItems containsSemiMixedTypes="0" containsString="0" containsNumber="1" minValue="0" maxValue="124177.93333333333"/>
    </cacheField>
    <cacheField name="New-Total Undg SCH" numFmtId="3">
      <sharedItems containsSemiMixedTypes="0" containsString="0" containsNumber="1" minValue="0" maxValue="3848311"/>
    </cacheField>
    <cacheField name="New-Total Undg SCH FTE" numFmtId="3">
      <sharedItems containsSemiMixedTypes="0" containsString="0" containsNumber="1" minValue="0" maxValue="128277.03333333334"/>
    </cacheField>
    <cacheField name="Old-Total HS SCH" numFmtId="0">
      <sharedItems containsString="0" containsBlank="1" containsNumber="1" minValue="0" maxValue="390846"/>
    </cacheField>
    <cacheField name="New-Total HS SCH" numFmtId="0">
      <sharedItems containsString="0" containsBlank="1" containsNumber="1" minValue="0" maxValue="516361"/>
    </cacheField>
    <cacheField name="Old-Total Undg SCH2" numFmtId="3">
      <sharedItems containsSemiMixedTypes="0" containsString="0" containsNumber="1" minValue="0" maxValue="3725338"/>
    </cacheField>
    <cacheField name="New-Total Undg SCH2" numFmtId="3">
      <sharedItems containsSemiMixedTypes="0" containsString="0" containsNumber="1" minValue="0" maxValue="3848311"/>
    </cacheField>
    <cacheField name="old-Winter Undg CH" numFmtId="0">
      <sharedItems containsString="0" containsBlank="1" containsNumber="1" containsInteger="1" minValue="0" maxValue="821552"/>
    </cacheField>
    <cacheField name="new-Winter Undg CH" numFmtId="0">
      <sharedItems containsString="0" containsBlank="1" containsNumber="1" containsInteger="1" minValue="0" maxValue="537454"/>
    </cacheField>
    <cacheField name="old-Spring Undg CH" numFmtId="0">
      <sharedItems containsString="0" containsBlank="1" containsNumber="1" containsInteger="1" minValue="0" maxValue="3098988"/>
    </cacheField>
    <cacheField name="new-Spring Undg CH" numFmtId="0">
      <sharedItems containsString="0" containsBlank="1" containsNumber="1" containsInteger="1" minValue="0" maxValue="1971917"/>
    </cacheField>
    <cacheField name="old-Summer Undg CH" numFmtId="0">
      <sharedItems containsString="0" containsBlank="1" containsNumber="1" containsInteger="1" minValue="0" maxValue="1708241"/>
    </cacheField>
    <cacheField name="new-Summer Undg CH" numFmtId="0">
      <sharedItems containsString="0" containsBlank="1" containsNumber="1" containsInteger="1" minValue="0" maxValue="1484804"/>
    </cacheField>
    <cacheField name="old-Fall Undg CH" numFmtId="0">
      <sharedItems containsString="0" containsBlank="1" containsNumber="1" minValue="0" maxValue="1899880.13"/>
    </cacheField>
    <cacheField name="new-Fall Undg CH" numFmtId="0">
      <sharedItems containsString="0" containsBlank="1" containsNumber="1" minValue="0" maxValue="1509993.25"/>
    </cacheField>
    <cacheField name="Old-Total Undg CH" numFmtId="3">
      <sharedItems containsSemiMixedTypes="0" containsString="0" containsNumber="1" minValue="0" maxValue="5753435"/>
    </cacheField>
    <cacheField name="Old-Total Undg CH FTE" numFmtId="3">
      <sharedItems containsSemiMixedTypes="0" containsString="0" containsNumber="1" minValue="0" maxValue="6392.7055555555553"/>
    </cacheField>
    <cacheField name="New-Total Undg CH" numFmtId="3">
      <sharedItems containsSemiMixedTypes="0" containsString="0" containsNumber="1" minValue="0" maxValue="4557664"/>
    </cacheField>
    <cacheField name="New-Total Undg CH FTE" numFmtId="3">
      <sharedItems containsSemiMixedTypes="0" containsString="0" containsNumber="1" minValue="0" maxValue="5064.0711111111113"/>
    </cacheField>
    <cacheField name="Old-Total HS CH" numFmtId="3">
      <sharedItems containsString="0" containsBlank="1" containsNumber="1" containsInteger="1" minValue="0" maxValue="93471"/>
    </cacheField>
    <cacheField name="New-Total HS CH" numFmtId="3">
      <sharedItems containsString="0" containsBlank="1" containsNumber="1" containsInteger="1" minValue="0" maxValue="91770"/>
    </cacheField>
    <cacheField name="Old-Total Undg CH2" numFmtId="3">
      <sharedItems containsSemiMixedTypes="0" containsString="0" containsNumber="1" containsInteger="1" minValue="0" maxValue="5753435"/>
    </cacheField>
    <cacheField name="New-Total Undg CH2" numFmtId="3">
      <sharedItems containsSemiMixedTypes="0" containsString="0" containsNumber="1" containsInteger="1" minValue="0" maxValue="4557664"/>
    </cacheField>
    <cacheField name="old-Winter Grad SCH" numFmtId="3">
      <sharedItems containsString="0" containsBlank="1" containsNumber="1" containsInteger="1" minValue="0" maxValue="7573"/>
    </cacheField>
    <cacheField name="new-Winter Grad SCH" numFmtId="3">
      <sharedItems containsString="0" containsBlank="1" containsNumber="1" containsInteger="1" minValue="0" maxValue="7842"/>
    </cacheField>
    <cacheField name="old-Spring Grad SCH" numFmtId="3">
      <sharedItems containsString="0" containsBlank="1" containsNumber="1" minValue="0" maxValue="142301"/>
    </cacheField>
    <cacheField name="new-Spring Grad SCH" numFmtId="0">
      <sharedItems containsString="0" containsBlank="1" containsNumber="1" minValue="0" maxValue="143499"/>
    </cacheField>
    <cacheField name="old-Summer Grad SCH" numFmtId="3">
      <sharedItems containsString="0" containsBlank="1" containsNumber="1" minValue="0" maxValue="62388"/>
    </cacheField>
    <cacheField name="new-Summer Grad SCH" numFmtId="0">
      <sharedItems containsString="0" containsBlank="1" containsNumber="1" minValue="0" maxValue="60534"/>
    </cacheField>
    <cacheField name="old-Fall Grad SCH" numFmtId="3">
      <sharedItems containsString="0" containsBlank="1" containsNumber="1" minValue="0" maxValue="152781"/>
    </cacheField>
    <cacheField name="new-Fall Grad SCH" numFmtId="0">
      <sharedItems containsString="0" containsBlank="1" containsNumber="1" minValue="0" maxValue="149877"/>
    </cacheField>
    <cacheField name="Old-Total Grad SCH" numFmtId="3">
      <sharedItems containsSemiMixedTypes="0" containsString="0" containsNumber="1" minValue="0" maxValue="357470"/>
    </cacheField>
    <cacheField name="Old-Total Grad FTE" numFmtId="3">
      <sharedItems containsSemiMixedTypes="0" containsString="0" containsNumber="1" minValue="0" maxValue="14894.583333333334"/>
    </cacheField>
    <cacheField name="New-Total Grad SCH" numFmtId="3">
      <sharedItems containsSemiMixedTypes="0" containsString="0" containsNumber="1" minValue="0" maxValue="353910"/>
    </cacheField>
    <cacheField name="New-Total Grad FTE" numFmtId="3">
      <sharedItems containsSemiMixedTypes="0" containsString="0" containsNumber="1" minValue="0" maxValue="14746.25"/>
    </cacheField>
    <cacheField name="Old Grand Total FTE" numFmtId="3">
      <sharedItems containsSemiMixedTypes="0" containsString="0" containsNumber="1" minValue="34.961111111111109" maxValue="124177.93333333333"/>
    </cacheField>
    <cacheField name="New Grand Total FTE" numFmtId="3">
      <sharedItems containsSemiMixedTypes="0" containsString="0" containsNumber="1" minValue="27.417777777777779" maxValue="128277.03333333334"/>
    </cacheField>
    <cacheField name="% Change Undg SCH FTE" numFmtId="0" formula="IF('Old-Total Undg SCH FTE'&gt;0,((('New-Total Undg SCH FTE'-'Old-Total Undg SCH FTE')/'Old-Total Undg SCH FTE')))" databaseField="0"/>
    <cacheField name="% Change Grad FTE" numFmtId="0" formula="IF('Old-Total Grad FTE'&gt;0, ((('New-Total Grad FTE'-'Old-Total Grad FTE')/'Old-Total Grad FTE')))" databaseField="0"/>
    <cacheField name="% Change Undg CH FTE" numFmtId="0" formula="IF('Old-Total Undg CH FTE'&gt;0,((('New-Total Undg CH FTE'-'Old-Total Undg CH FTE')/'Old-Total Undg CH FTE')))" databaseField="0"/>
    <cacheField name="New-Total HSH" numFmtId="0" formula="'New-Total HS SCH'+'New-Total HS CH'" databaseField="0"/>
    <cacheField name="New-Total UGH" numFmtId="0" formula="'New-Total Undg SCH'+'New-Total Undg CH'" databaseField="0"/>
    <cacheField name="New-HS % of Total" numFmtId="0" formula="IF(#NAME?&gt;0,(#NAME?/#NAME?))" databaseField="0"/>
    <cacheField name="Old-HS % of Total" numFmtId="0" formula="IF('Old-Total HSH'&gt;0,('Old-Total HSH'/'Old-Total UGH'),)" databaseField="0"/>
    <cacheField name="Category2" numFmtId="0" databaseField="0">
      <fieldGroup base="4">
        <discretePr count="19">
          <x v="3"/>
          <x v="3"/>
          <x v="3"/>
          <x v="3"/>
          <x v="3"/>
          <x v="3"/>
          <x v="4"/>
          <x v="4"/>
          <x v="4"/>
          <x v="5"/>
          <x v="5"/>
          <x v="4"/>
          <x v="8"/>
          <x v="6"/>
          <x v="7"/>
          <x v="1"/>
          <x v="2"/>
          <x v="5"/>
          <x v="0"/>
        </discretePr>
        <groupItems count="9">
          <n v="15"/>
          <s v="10b"/>
          <n v="11"/>
          <s v="Group1"/>
          <s v="Group2"/>
          <s v="Group3"/>
          <s v="08b"/>
          <s v="09b"/>
          <s v="99"/>
        </groupItems>
      </fieldGroup>
    </cacheField>
    <cacheField name="% Change Total FTE" numFmtId="0" formula="IF('Old Grand Total FTE'&gt;0, ((('New Grand Total FTE'-'Old Grand Total FTE')/'Old Grand Total FTE')))" databaseField="0"/>
    <cacheField name="Old-Total UGH" numFmtId="0" formula="'Old-Total Undg SCH'+'Old-Total Undg CH'" databaseField="0"/>
    <cacheField name="Old-Total HSH" numFmtId="0" formula="'Old-Total HS SCH'+'Old-Total HS CH'"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isa Cowan" refreshedDate="41276.523065046298" createdVersion="3" refreshedVersion="4" minRefreshableVersion="3" recordCount="686">
  <cacheSource type="worksheet">
    <worksheetSource ref="A6:AM692" sheet="SCH Data"/>
  </cacheSource>
  <cacheFields count="47">
    <cacheField name="State" numFmtId="49">
      <sharedItems count="16">
        <s v="AL"/>
        <s v="AR"/>
        <s v="DE"/>
        <s v="FL"/>
        <s v="GA"/>
        <s v="KY"/>
        <s v="LA"/>
        <s v="MD"/>
        <s v="MS"/>
        <s v="NC"/>
        <s v="OK"/>
        <s v="SC"/>
        <s v="TN"/>
        <s v="TX"/>
        <s v="VA"/>
        <s v="WV"/>
      </sharedItems>
    </cacheField>
    <cacheField name="Institution" numFmtId="0">
      <sharedItems containsBlank="1"/>
    </cacheField>
    <cacheField name="Note" numFmtId="0">
      <sharedItems containsBlank="1"/>
    </cacheField>
    <cacheField name="IPEDS ID #" numFmtId="0">
      <sharedItems containsBlank="1" containsMixedTypes="1" containsNumber="1" containsInteger="1" minValue="100654" maxValue="447689"/>
    </cacheField>
    <cacheField name="Category" numFmtId="0">
      <sharedItems containsMixedTypes="1" containsNumber="1" containsInteger="1" minValue="1" maxValue="15" count="19">
        <n v="1"/>
        <n v="2"/>
        <n v="3"/>
        <n v="4"/>
        <n v="5"/>
        <n v="6"/>
        <n v="8"/>
        <n v="9"/>
        <n v="10"/>
        <n v="12"/>
        <n v="13"/>
        <n v="7"/>
        <s v="99"/>
        <s v="08b"/>
        <s v="09b"/>
        <s v="10b"/>
        <n v="11"/>
        <n v="14" u="1"/>
        <n v="15" u="1"/>
      </sharedItems>
      <fieldGroup par="43"/>
    </cacheField>
    <cacheField name="Old-Term Code" numFmtId="165">
      <sharedItems containsBlank="1"/>
    </cacheField>
    <cacheField name="New-Term Code" numFmtId="165">
      <sharedItems containsBlank="1"/>
    </cacheField>
    <cacheField name="old-Winter Undg SCH" numFmtId="0">
      <sharedItems containsString="0" containsBlank="1" containsNumber="1" minValue="0" maxValue="532640"/>
    </cacheField>
    <cacheField name="new-Winter Undg SCH" numFmtId="0">
      <sharedItems containsString="0" containsBlank="1" containsNumber="1" minValue="0" maxValue="563364"/>
    </cacheField>
    <cacheField name="old-Spring Undg SCH" numFmtId="0">
      <sharedItems containsString="0" containsBlank="1" containsNumber="1" minValue="0" maxValue="1563385"/>
    </cacheField>
    <cacheField name="new-Spring Undg SCH" numFmtId="0">
      <sharedItems containsString="0" containsBlank="1" containsNumber="1" minValue="27" maxValue="1607648"/>
    </cacheField>
    <cacheField name="old-Summer Undg SCH" numFmtId="0">
      <sharedItems containsString="0" containsBlank="1" containsNumber="1" minValue="0" maxValue="476937"/>
    </cacheField>
    <cacheField name="new-Summer Undg SCH" numFmtId="0">
      <sharedItems containsString="0" containsBlank="1" containsNumber="1" minValue="0" maxValue="533413"/>
    </cacheField>
    <cacheField name="old-Fall Undg SCH" numFmtId="0">
      <sharedItems containsString="0" containsBlank="1" containsNumber="1" minValue="1066" maxValue="1685016"/>
    </cacheField>
    <cacheField name="new-Fall Undg SCH" numFmtId="0">
      <sharedItems containsString="0" containsBlank="1" containsNumber="1" minValue="1615" maxValue="1707250"/>
    </cacheField>
    <cacheField name="Old-Total Undg SCH" numFmtId="3">
      <sharedItems containsSemiMixedTypes="0" containsString="0" containsNumber="1" minValue="0" maxValue="3725338"/>
    </cacheField>
    <cacheField name="Old-Total Undg SCH FTE" numFmtId="3">
      <sharedItems containsSemiMixedTypes="0" containsString="0" containsNumber="1" minValue="0" maxValue="124177.93333333333"/>
    </cacheField>
    <cacheField name="New-Total Undg SCH" numFmtId="3">
      <sharedItems containsSemiMixedTypes="0" containsString="0" containsNumber="1" minValue="0" maxValue="3848311"/>
    </cacheField>
    <cacheField name="New-Total Undg SCH FTE" numFmtId="3">
      <sharedItems containsSemiMixedTypes="0" containsString="0" containsNumber="1" minValue="0" maxValue="128277.03333333334"/>
    </cacheField>
    <cacheField name="Old-Total HS SCH" numFmtId="0">
      <sharedItems containsString="0" containsBlank="1" containsNumber="1" minValue="0" maxValue="390846"/>
    </cacheField>
    <cacheField name="New-Total HS SCH" numFmtId="0">
      <sharedItems containsString="0" containsBlank="1" containsNumber="1" minValue="0" maxValue="516361"/>
    </cacheField>
    <cacheField name="Old-Total Undg SCH2" numFmtId="3">
      <sharedItems containsSemiMixedTypes="0" containsString="0" containsNumber="1" minValue="0" maxValue="3725338"/>
    </cacheField>
    <cacheField name="New-Total Undg SCH2" numFmtId="3">
      <sharedItems containsSemiMixedTypes="0" containsString="0" containsNumber="1" minValue="0" maxValue="3848311"/>
    </cacheField>
    <cacheField name="old-Winter Undg CH" numFmtId="0">
      <sharedItems containsString="0" containsBlank="1" containsNumber="1" containsInteger="1" minValue="0" maxValue="821552"/>
    </cacheField>
    <cacheField name="new-Winter Undg CH" numFmtId="0">
      <sharedItems containsString="0" containsBlank="1" containsNumber="1" containsInteger="1" minValue="0" maxValue="537454"/>
    </cacheField>
    <cacheField name="old-Spring Undg CH" numFmtId="0">
      <sharedItems containsString="0" containsBlank="1" containsNumber="1" containsInteger="1" minValue="0" maxValue="3098988"/>
    </cacheField>
    <cacheField name="new-Spring Undg CH" numFmtId="0">
      <sharedItems containsString="0" containsBlank="1" containsNumber="1" containsInteger="1" minValue="0" maxValue="1971917"/>
    </cacheField>
    <cacheField name="old-Summer Undg CH" numFmtId="0">
      <sharedItems containsString="0" containsBlank="1" containsNumber="1" containsInteger="1" minValue="0" maxValue="1708241"/>
    </cacheField>
    <cacheField name="new-Summer Undg CH" numFmtId="0">
      <sharedItems containsString="0" containsBlank="1" containsNumber="1" containsInteger="1" minValue="0" maxValue="1484804"/>
    </cacheField>
    <cacheField name="old-Fall Undg CH" numFmtId="0">
      <sharedItems containsString="0" containsBlank="1" containsNumber="1" minValue="0" maxValue="1899880.13"/>
    </cacheField>
    <cacheField name="new-Fall Undg CH" numFmtId="0">
      <sharedItems containsString="0" containsBlank="1" containsNumber="1" minValue="0" maxValue="1509993.25"/>
    </cacheField>
    <cacheField name="Old-Total Undg CH" numFmtId="3">
      <sharedItems containsSemiMixedTypes="0" containsString="0" containsNumber="1" minValue="0" maxValue="5753435"/>
    </cacheField>
    <cacheField name="Old-Total Undg CH FTE" numFmtId="3">
      <sharedItems containsSemiMixedTypes="0" containsString="0" containsNumber="1" minValue="0" maxValue="6392.7055555555553"/>
    </cacheField>
    <cacheField name="New-Total Undg CH" numFmtId="3">
      <sharedItems containsSemiMixedTypes="0" containsString="0" containsNumber="1" minValue="0" maxValue="4557664"/>
    </cacheField>
    <cacheField name="New-Total Undg CH FTE" numFmtId="3">
      <sharedItems containsSemiMixedTypes="0" containsString="0" containsNumber="1" minValue="0" maxValue="5064.0711111111113"/>
    </cacheField>
    <cacheField name="Old-Total HS CH" numFmtId="3">
      <sharedItems containsString="0" containsBlank="1" containsNumber="1" containsInteger="1" minValue="0" maxValue="93471"/>
    </cacheField>
    <cacheField name="New-Total HS CH" numFmtId="3">
      <sharedItems containsString="0" containsBlank="1" containsNumber="1" containsInteger="1" minValue="0" maxValue="91770"/>
    </cacheField>
    <cacheField name="Old-Total Undg CH2" numFmtId="3">
      <sharedItems containsSemiMixedTypes="0" containsString="0" containsNumber="1" containsInteger="1" minValue="0" maxValue="5753435"/>
    </cacheField>
    <cacheField name="New-Total Undg CH2" numFmtId="3">
      <sharedItems containsSemiMixedTypes="0" containsString="0" containsNumber="1" containsInteger="1" minValue="0" maxValue="4557664"/>
    </cacheField>
    <cacheField name="New-Total HSH" numFmtId="0" formula="'New-Total HS SCH'+'New-Total HS CH'" databaseField="0"/>
    <cacheField name="New-Total UGH" numFmtId="0" formula="'New-Total Undg SCH2'+'New-Total Undg CH2'" databaseField="0"/>
    <cacheField name="New-HS % of Total" numFmtId="0" formula="IF('New-Total UGH'&gt;0,('New-Total HSH'/'New-Total UGH'))" databaseField="0"/>
    <cacheField name="Old-HS % of Total" numFmtId="0" formula="IF('Old-Total UGH'&gt;0,('Old-Total HSH'/'Old-Total UGH'),)" databaseField="0"/>
    <cacheField name="Category2" numFmtId="0" databaseField="0">
      <fieldGroup base="4">
        <discretePr count="19">
          <x v="3"/>
          <x v="3"/>
          <x v="3"/>
          <x v="3"/>
          <x v="3"/>
          <x v="3"/>
          <x v="4"/>
          <x v="4"/>
          <x v="4"/>
          <x v="5"/>
          <x v="5"/>
          <x v="4"/>
          <x v="8"/>
          <x v="6"/>
          <x v="7"/>
          <x v="1"/>
          <x v="2"/>
          <x v="5"/>
          <x v="0"/>
        </discretePr>
        <groupItems count="9">
          <n v="15"/>
          <s v="10b"/>
          <n v="11"/>
          <s v="Group1"/>
          <s v="Group2"/>
          <s v="Group3"/>
          <s v="08b"/>
          <s v="09b"/>
          <s v="99"/>
        </groupItems>
      </fieldGroup>
    </cacheField>
    <cacheField name="Old-Total UGH" numFmtId="0" formula="'Old-Total Undg SCH2'+'Old-Total Undg CH2'" databaseField="0"/>
    <cacheField name="Old-Total HSH" numFmtId="0" formula="'Old-Total HS SCH'+'Old-Total HS CH'" databaseField="0"/>
    <cacheField name="HS % Change" numFmtId="0" formula="'New-HS % of Total'-'Old-HS % of Total'"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6">
  <r>
    <x v="0"/>
    <s v="Auburn University"/>
    <m/>
    <n v="100858"/>
    <x v="0"/>
    <s v="sem"/>
    <s v="sem"/>
    <m/>
    <m/>
    <n v="249642"/>
    <n v="256295"/>
    <n v="55703"/>
    <n v="55115"/>
    <n v="277275"/>
    <n v="281868"/>
    <n v="582620"/>
    <n v="19420.666666666668"/>
    <n v="593278"/>
    <n v="19775.933333333334"/>
    <n v="24"/>
    <n v="27"/>
    <n v="582620"/>
    <n v="593278"/>
    <m/>
    <m/>
    <m/>
    <m/>
    <m/>
    <m/>
    <m/>
    <m/>
    <n v="0"/>
    <n v="0"/>
    <n v="0"/>
    <n v="0"/>
    <m/>
    <m/>
    <n v="0"/>
    <n v="0"/>
    <m/>
    <m/>
    <n v="34614"/>
    <n v="36783"/>
    <n v="18905"/>
    <n v="19220"/>
    <n v="38613"/>
    <n v="39047"/>
    <n v="92132"/>
    <n v="3838.8333333333335"/>
    <n v="95050"/>
    <n v="3960.4166666666665"/>
    <n v="23259.5"/>
    <n v="23736.350000000002"/>
  </r>
  <r>
    <x v="0"/>
    <s v="University of Alabama "/>
    <m/>
    <n v="100751"/>
    <x v="0"/>
    <s v="sem"/>
    <s v="sem"/>
    <m/>
    <m/>
    <n v="303941"/>
    <n v="316793"/>
    <n v="62595"/>
    <n v="60132"/>
    <n v="335057"/>
    <n v="353356"/>
    <n v="701593"/>
    <n v="23386.433333333334"/>
    <n v="730281"/>
    <n v="24342.7"/>
    <n v="548"/>
    <n v="1685"/>
    <n v="701593"/>
    <n v="730281"/>
    <m/>
    <m/>
    <m/>
    <m/>
    <m/>
    <m/>
    <m/>
    <m/>
    <n v="0"/>
    <n v="0"/>
    <n v="0"/>
    <n v="0"/>
    <m/>
    <m/>
    <n v="0"/>
    <n v="0"/>
    <m/>
    <m/>
    <n v="41821"/>
    <n v="42753"/>
    <n v="11544"/>
    <n v="12218"/>
    <n v="42789"/>
    <n v="44057"/>
    <n v="96154"/>
    <n v="4006.4166666666665"/>
    <n v="99028"/>
    <n v="4126.166666666667"/>
    <n v="27392.850000000002"/>
    <n v="28468.866666666669"/>
  </r>
  <r>
    <x v="0"/>
    <s v="University of Alabama at Birmingham"/>
    <s v="Met the criteria for Four-Year 2 in 2010-11 and 2011-12."/>
    <n v="100663"/>
    <x v="0"/>
    <s v="sem"/>
    <s v="sem"/>
    <m/>
    <m/>
    <n v="109709"/>
    <n v="113224"/>
    <n v="30668"/>
    <n v="28982"/>
    <n v="122371"/>
    <n v="122877"/>
    <n v="262748"/>
    <n v="8758.2666666666664"/>
    <n v="265083"/>
    <n v="8836.1"/>
    <n v="78"/>
    <n v="55"/>
    <n v="262748"/>
    <n v="265083"/>
    <m/>
    <m/>
    <m/>
    <m/>
    <m/>
    <m/>
    <m/>
    <m/>
    <n v="0"/>
    <n v="0"/>
    <n v="0"/>
    <n v="0"/>
    <m/>
    <m/>
    <n v="0"/>
    <n v="0"/>
    <m/>
    <m/>
    <n v="17538"/>
    <n v="17547"/>
    <n v="11819"/>
    <n v="11619"/>
    <n v="17774"/>
    <n v="17378"/>
    <n v="47131"/>
    <n v="1963.7916666666667"/>
    <n v="46544"/>
    <n v="1939.3333333333333"/>
    <n v="10722.058333333332"/>
    <n v="10775.433333333334"/>
  </r>
  <r>
    <x v="0"/>
    <s v="University of Alabama in Huntsville"/>
    <m/>
    <n v="100706"/>
    <x v="1"/>
    <s v="sem"/>
    <s v="sem"/>
    <m/>
    <m/>
    <n v="69992"/>
    <n v="66744"/>
    <n v="18629"/>
    <n v="17137"/>
    <n v="72440"/>
    <n v="71501"/>
    <n v="161061"/>
    <n v="5368.7"/>
    <n v="155382"/>
    <n v="5179.3999999999996"/>
    <n v="388.5"/>
    <n v="416"/>
    <n v="161061"/>
    <n v="155382"/>
    <m/>
    <m/>
    <m/>
    <m/>
    <m/>
    <m/>
    <m/>
    <m/>
    <n v="0"/>
    <n v="0"/>
    <n v="0"/>
    <n v="0"/>
    <m/>
    <m/>
    <n v="0"/>
    <n v="0"/>
    <m/>
    <m/>
    <n v="8512"/>
    <n v="8799"/>
    <n v="4191"/>
    <n v="4219"/>
    <n v="9249"/>
    <n v="10158"/>
    <n v="21952"/>
    <n v="914.66666666666663"/>
    <n v="23176"/>
    <n v="965.66666666666663"/>
    <n v="6283.3666666666668"/>
    <n v="6145.0666666666666"/>
  </r>
  <r>
    <x v="0"/>
    <s v="Alabama Agricultural &amp; Mechanical University"/>
    <m/>
    <n v="100654"/>
    <x v="2"/>
    <s v="sem"/>
    <s v="sem"/>
    <m/>
    <m/>
    <n v="56705"/>
    <n v="60071"/>
    <n v="10528"/>
    <n v="21464"/>
    <n v="67482"/>
    <n v="59381"/>
    <n v="134715"/>
    <n v="4490.5"/>
    <n v="140916"/>
    <n v="4697.2"/>
    <n v="24"/>
    <n v="9"/>
    <n v="134715"/>
    <n v="140916"/>
    <m/>
    <m/>
    <m/>
    <m/>
    <m/>
    <m/>
    <m/>
    <m/>
    <n v="0"/>
    <n v="0"/>
    <n v="0"/>
    <n v="0"/>
    <m/>
    <m/>
    <n v="0"/>
    <n v="0"/>
    <m/>
    <m/>
    <n v="6180"/>
    <n v="6287"/>
    <n v="2913"/>
    <n v="4889"/>
    <n v="6293"/>
    <n v="6123"/>
    <n v="15386"/>
    <n v="641.08333333333337"/>
    <n v="17299"/>
    <n v="720.79166666666663"/>
    <n v="5131.583333333333"/>
    <n v="5417.9916666666668"/>
  </r>
  <r>
    <x v="0"/>
    <s v="Jacksonville State University "/>
    <m/>
    <n v="101480"/>
    <x v="2"/>
    <s v="sem"/>
    <s v="sem"/>
    <m/>
    <m/>
    <n v="86840"/>
    <n v="88230"/>
    <n v="26865"/>
    <n v="27021"/>
    <n v="93136"/>
    <n v="98584"/>
    <n v="206841"/>
    <n v="6894.7"/>
    <n v="213835"/>
    <n v="7127.833333333333"/>
    <n v="1969"/>
    <n v="1906"/>
    <n v="206841"/>
    <n v="213835"/>
    <m/>
    <m/>
    <m/>
    <m/>
    <m/>
    <m/>
    <m/>
    <m/>
    <n v="0"/>
    <n v="0"/>
    <n v="0"/>
    <n v="0"/>
    <m/>
    <m/>
    <n v="0"/>
    <n v="0"/>
    <m/>
    <m/>
    <n v="9749"/>
    <n v="8484"/>
    <n v="6370"/>
    <n v="6173"/>
    <n v="9237"/>
    <n v="7178"/>
    <n v="25356"/>
    <n v="1056.5"/>
    <n v="21835"/>
    <n v="909.79166666666663"/>
    <n v="7951.2"/>
    <n v="8037.625"/>
  </r>
  <r>
    <x v="0"/>
    <s v="Troy University"/>
    <m/>
    <n v="102368"/>
    <x v="2"/>
    <s v="sem"/>
    <s v="sem"/>
    <m/>
    <m/>
    <n v="149708"/>
    <n v="146595"/>
    <n v="41236"/>
    <n v="38268"/>
    <n v="156741"/>
    <n v="197682"/>
    <n v="347685"/>
    <n v="11589.5"/>
    <n v="382545"/>
    <n v="12751.5"/>
    <n v="328"/>
    <n v="286"/>
    <n v="347685"/>
    <n v="382545"/>
    <m/>
    <m/>
    <m/>
    <m/>
    <m/>
    <m/>
    <m/>
    <m/>
    <n v="0"/>
    <n v="0"/>
    <n v="0"/>
    <n v="0"/>
    <m/>
    <m/>
    <n v="0"/>
    <n v="0"/>
    <m/>
    <m/>
    <n v="19522"/>
    <n v="18084"/>
    <n v="8481"/>
    <n v="7411"/>
    <n v="18655"/>
    <n v="28115"/>
    <n v="46658"/>
    <n v="1944.0833333333333"/>
    <n v="53610"/>
    <n v="2233.75"/>
    <n v="13533.583333333334"/>
    <n v="14985.25"/>
  </r>
  <r>
    <x v="0"/>
    <s v="University of South Alabama"/>
    <m/>
    <n v="102094"/>
    <x v="2"/>
    <s v="sem"/>
    <s v="sem"/>
    <m/>
    <m/>
    <n v="115817"/>
    <n v="115521"/>
    <n v="28931"/>
    <n v="28710"/>
    <n v="127980"/>
    <n v="128593"/>
    <n v="272728"/>
    <n v="9090.9333333333325"/>
    <n v="272824"/>
    <n v="9094.1333333333332"/>
    <n v="661"/>
    <n v="384"/>
    <n v="272728"/>
    <n v="272824"/>
    <m/>
    <m/>
    <m/>
    <m/>
    <m/>
    <m/>
    <m/>
    <m/>
    <n v="0"/>
    <n v="0"/>
    <n v="0"/>
    <n v="0"/>
    <m/>
    <m/>
    <n v="0"/>
    <n v="0"/>
    <m/>
    <m/>
    <n v="7316"/>
    <n v="6658"/>
    <n v="4108"/>
    <n v="3757"/>
    <n v="7281"/>
    <n v="6428"/>
    <n v="18705"/>
    <n v="779.375"/>
    <n v="16843"/>
    <n v="701.79166666666663"/>
    <n v="9870.3083333333325"/>
    <n v="9795.9249999999993"/>
  </r>
  <r>
    <x v="0"/>
    <s v="Alabama State University "/>
    <m/>
    <n v="100724"/>
    <x v="3"/>
    <s v="sem"/>
    <s v="sem"/>
    <m/>
    <m/>
    <n v="62452"/>
    <n v="70196"/>
    <n v="20083"/>
    <n v="16252"/>
    <n v="72802"/>
    <n v="69893"/>
    <n v="155337"/>
    <n v="5177.8999999999996"/>
    <n v="156341"/>
    <n v="5211.3666666666668"/>
    <n v="0"/>
    <n v="0"/>
    <n v="155337"/>
    <n v="156341"/>
    <m/>
    <m/>
    <m/>
    <m/>
    <m/>
    <m/>
    <m/>
    <m/>
    <n v="0"/>
    <n v="0"/>
    <n v="0"/>
    <n v="0"/>
    <m/>
    <m/>
    <n v="0"/>
    <n v="0"/>
    <m/>
    <m/>
    <n v="5887"/>
    <n v="5886"/>
    <n v="4150"/>
    <n v="3448"/>
    <n v="6525"/>
    <n v="6108"/>
    <n v="16562"/>
    <n v="690.08333333333337"/>
    <n v="15442"/>
    <n v="643.41666666666663"/>
    <n v="5867.9833333333327"/>
    <n v="5854.7833333333338"/>
  </r>
  <r>
    <x v="0"/>
    <s v="Auburn University at Montgomery"/>
    <m/>
    <n v="100830"/>
    <x v="3"/>
    <s v="sem"/>
    <s v="sem"/>
    <m/>
    <m/>
    <n v="50062"/>
    <n v="50147"/>
    <n v="17096"/>
    <n v="15040"/>
    <n v="55193"/>
    <n v="49118"/>
    <n v="122351"/>
    <n v="4078.3666666666668"/>
    <n v="114305"/>
    <n v="3810.1666666666665"/>
    <n v="35"/>
    <n v="77"/>
    <n v="122351"/>
    <n v="114305"/>
    <m/>
    <m/>
    <m/>
    <m/>
    <m/>
    <m/>
    <m/>
    <m/>
    <n v="0"/>
    <n v="0"/>
    <n v="0"/>
    <n v="0"/>
    <m/>
    <m/>
    <n v="0"/>
    <n v="0"/>
    <m/>
    <m/>
    <n v="6105"/>
    <n v="6140"/>
    <n v="3505"/>
    <n v="2740"/>
    <n v="6478"/>
    <n v="5581"/>
    <n v="16088"/>
    <n v="670.33333333333337"/>
    <n v="14461"/>
    <n v="602.54166666666663"/>
    <n v="4748.7"/>
    <n v="4412.708333333333"/>
  </r>
  <r>
    <x v="0"/>
    <s v="University of North Alabama"/>
    <m/>
    <n v="101879"/>
    <x v="3"/>
    <s v="sem"/>
    <s v="sem"/>
    <m/>
    <m/>
    <n v="69948"/>
    <n v="70318"/>
    <n v="15309"/>
    <n v="15907"/>
    <n v="77091"/>
    <n v="75370"/>
    <n v="162348"/>
    <n v="5411.6"/>
    <n v="161595"/>
    <n v="5386.5"/>
    <n v="2686"/>
    <n v="2573"/>
    <n v="162348"/>
    <n v="161595"/>
    <m/>
    <m/>
    <m/>
    <m/>
    <m/>
    <m/>
    <m/>
    <m/>
    <n v="0"/>
    <n v="0"/>
    <n v="0"/>
    <n v="0"/>
    <m/>
    <m/>
    <n v="0"/>
    <n v="0"/>
    <m/>
    <m/>
    <n v="6317"/>
    <n v="6629"/>
    <n v="3078"/>
    <n v="2994"/>
    <n v="6660"/>
    <n v="5698"/>
    <n v="16055"/>
    <n v="668.95833333333337"/>
    <n v="15321"/>
    <n v="638.375"/>
    <n v="6080.5583333333334"/>
    <n v="6024.875"/>
  </r>
  <r>
    <x v="0"/>
    <s v="University of Montevallo"/>
    <m/>
    <n v="101709"/>
    <x v="4"/>
    <s v="sem"/>
    <s v="sem"/>
    <m/>
    <m/>
    <n v="32032"/>
    <n v="31500"/>
    <n v="7372"/>
    <n v="6846"/>
    <n v="33590"/>
    <n v="34130"/>
    <n v="72994"/>
    <n v="2433.1333333333332"/>
    <n v="72476"/>
    <n v="2415.8666666666668"/>
    <n v="80"/>
    <n v="71"/>
    <n v="72994"/>
    <n v="72476"/>
    <m/>
    <m/>
    <m/>
    <m/>
    <m/>
    <m/>
    <m/>
    <m/>
    <n v="0"/>
    <n v="0"/>
    <n v="0"/>
    <n v="0"/>
    <m/>
    <m/>
    <n v="0"/>
    <n v="0"/>
    <m/>
    <m/>
    <n v="3183"/>
    <n v="3514"/>
    <n v="2618"/>
    <n v="2488"/>
    <n v="3758"/>
    <n v="5698"/>
    <n v="9559"/>
    <n v="398.29166666666669"/>
    <n v="11700"/>
    <n v="487.5"/>
    <n v="2831.4249999999997"/>
    <n v="2903.3666666666668"/>
  </r>
  <r>
    <x v="0"/>
    <s v="University of West Alabama"/>
    <m/>
    <n v="101587"/>
    <x v="4"/>
    <s v="sem"/>
    <s v="sem"/>
    <m/>
    <m/>
    <n v="20753"/>
    <n v="21131"/>
    <n v="6559"/>
    <n v="6056"/>
    <n v="24021"/>
    <n v="25093"/>
    <n v="51333"/>
    <n v="1711.1"/>
    <n v="52280"/>
    <n v="1742.6666666666667"/>
    <n v="76"/>
    <n v="87"/>
    <n v="51333"/>
    <n v="52280"/>
    <m/>
    <m/>
    <m/>
    <m/>
    <m/>
    <m/>
    <m/>
    <m/>
    <n v="0"/>
    <n v="0"/>
    <n v="0"/>
    <n v="0"/>
    <m/>
    <m/>
    <n v="0"/>
    <n v="0"/>
    <m/>
    <m/>
    <n v="19077"/>
    <n v="18582"/>
    <n v="11147"/>
    <n v="10252"/>
    <n v="18997"/>
    <n v="17751"/>
    <n v="49221"/>
    <n v="2050.875"/>
    <n v="46585"/>
    <n v="1941.0416666666667"/>
    <n v="3761.9749999999999"/>
    <n v="3683.7083333333335"/>
  </r>
  <r>
    <x v="0"/>
    <s v="Athens State University"/>
    <m/>
    <n v="100812"/>
    <x v="5"/>
    <s v="sem"/>
    <s v="sem"/>
    <m/>
    <m/>
    <n v="33187"/>
    <n v="32522"/>
    <n v="21688"/>
    <n v="20842"/>
    <n v="34315"/>
    <n v="32338"/>
    <n v="89190"/>
    <n v="2973"/>
    <n v="85702"/>
    <n v="2856.7333333333331"/>
    <n v="0"/>
    <n v="0"/>
    <n v="89190"/>
    <n v="85702"/>
    <m/>
    <m/>
    <m/>
    <m/>
    <m/>
    <m/>
    <m/>
    <m/>
    <n v="0"/>
    <n v="0"/>
    <n v="0"/>
    <n v="0"/>
    <m/>
    <m/>
    <n v="0"/>
    <n v="0"/>
    <m/>
    <m/>
    <m/>
    <m/>
    <m/>
    <m/>
    <m/>
    <m/>
    <n v="0"/>
    <n v="0"/>
    <n v="0"/>
    <n v="0"/>
    <n v="2973"/>
    <n v="2856.7333333333331"/>
  </r>
  <r>
    <x v="0"/>
    <s v="Gadsden State Community College"/>
    <s v="Reclassified: Met the criteria for Two-Year 1 in 2009-10, 2010-11 and 2011-12."/>
    <n v="101240"/>
    <x v="6"/>
    <s v="sem"/>
    <s v="sem"/>
    <m/>
    <m/>
    <n v="70538"/>
    <n v="70362"/>
    <n v="37324"/>
    <n v="34759"/>
    <n v="74798"/>
    <n v="70491"/>
    <n v="182660"/>
    <n v="6088.666666666667"/>
    <n v="175612"/>
    <n v="5853.7333333333336"/>
    <n v="2092"/>
    <n v="2689"/>
    <n v="182660"/>
    <n v="175612"/>
    <m/>
    <m/>
    <m/>
    <m/>
    <m/>
    <m/>
    <m/>
    <m/>
    <n v="0"/>
    <n v="0"/>
    <n v="0"/>
    <n v="0"/>
    <m/>
    <m/>
    <n v="0"/>
    <n v="0"/>
    <m/>
    <m/>
    <m/>
    <m/>
    <m/>
    <m/>
    <m/>
    <m/>
    <n v="0"/>
    <n v="0"/>
    <n v="0"/>
    <n v="0"/>
    <n v="6088.666666666667"/>
    <n v="5853.7333333333336"/>
  </r>
  <r>
    <x v="0"/>
    <s v="Jefferson State Community College"/>
    <m/>
    <n v="101505"/>
    <x v="6"/>
    <s v="sem"/>
    <s v="sem"/>
    <m/>
    <m/>
    <n v="74329"/>
    <n v="78960"/>
    <n v="40840"/>
    <n v="41971"/>
    <n v="84949"/>
    <n v="81990"/>
    <n v="200118"/>
    <n v="6670.6"/>
    <n v="202921"/>
    <n v="6764.0333333333338"/>
    <n v="6177"/>
    <n v="5753"/>
    <n v="200118"/>
    <n v="202921"/>
    <m/>
    <m/>
    <m/>
    <m/>
    <m/>
    <m/>
    <m/>
    <m/>
    <n v="0"/>
    <n v="0"/>
    <n v="0"/>
    <n v="0"/>
    <m/>
    <m/>
    <n v="0"/>
    <n v="0"/>
    <m/>
    <m/>
    <m/>
    <m/>
    <m/>
    <m/>
    <m/>
    <m/>
    <n v="0"/>
    <n v="0"/>
    <n v="0"/>
    <n v="0"/>
    <n v="6670.6"/>
    <n v="6764.0333333333338"/>
  </r>
  <r>
    <x v="0"/>
    <s v="John C. Calhoun State Community College "/>
    <m/>
    <n v="101514"/>
    <x v="6"/>
    <s v="sem"/>
    <s v="sem"/>
    <m/>
    <m/>
    <n v="101044"/>
    <n v="105691"/>
    <n v="47388"/>
    <n v="46471"/>
    <n v="112345"/>
    <n v="109962"/>
    <n v="260777"/>
    <n v="8692.5666666666675"/>
    <n v="262124"/>
    <n v="8737.4666666666672"/>
    <n v="8824"/>
    <n v="9688"/>
    <n v="260777"/>
    <n v="262124"/>
    <m/>
    <m/>
    <m/>
    <m/>
    <m/>
    <m/>
    <m/>
    <m/>
    <n v="0"/>
    <n v="0"/>
    <n v="0"/>
    <n v="0"/>
    <m/>
    <m/>
    <n v="0"/>
    <n v="0"/>
    <m/>
    <m/>
    <m/>
    <m/>
    <m/>
    <m/>
    <m/>
    <m/>
    <n v="0"/>
    <n v="0"/>
    <n v="0"/>
    <n v="0"/>
    <n v="8692.5666666666675"/>
    <n v="8737.4666666666672"/>
  </r>
  <r>
    <x v="0"/>
    <s v="Wallace Community College - Hanceville"/>
    <s v="Reclassified: Met the criteria for Two-Year 1 in 2009-10, 2010-11 and 2011-12."/>
    <n v="101295"/>
    <x v="6"/>
    <s v="sem"/>
    <s v="sem"/>
    <m/>
    <m/>
    <n v="68171"/>
    <n v="67685"/>
    <n v="35117"/>
    <n v="31282"/>
    <n v="69774"/>
    <n v="61700"/>
    <n v="173062"/>
    <n v="5768.7333333333336"/>
    <n v="160667"/>
    <n v="5355.5666666666666"/>
    <n v="4730"/>
    <n v="4673"/>
    <n v="173062"/>
    <n v="160667"/>
    <m/>
    <m/>
    <m/>
    <m/>
    <m/>
    <m/>
    <m/>
    <m/>
    <n v="0"/>
    <n v="0"/>
    <n v="0"/>
    <n v="0"/>
    <m/>
    <m/>
    <n v="0"/>
    <n v="0"/>
    <m/>
    <m/>
    <m/>
    <m/>
    <m/>
    <m/>
    <m/>
    <m/>
    <n v="0"/>
    <n v="0"/>
    <n v="0"/>
    <n v="0"/>
    <n v="5768.7333333333336"/>
    <n v="5355.5666666666666"/>
  </r>
  <r>
    <x v="0"/>
    <s v="Bevill State Community College"/>
    <m/>
    <n v="102429"/>
    <x v="7"/>
    <s v="sem"/>
    <s v="sem"/>
    <m/>
    <m/>
    <n v="47199"/>
    <n v="45434"/>
    <n v="24194"/>
    <n v="19403"/>
    <n v="50399"/>
    <n v="43114"/>
    <n v="121792"/>
    <n v="4059.7333333333331"/>
    <n v="107951"/>
    <n v="3598.3666666666668"/>
    <n v="1558"/>
    <n v="1406"/>
    <n v="121792"/>
    <n v="107951"/>
    <m/>
    <m/>
    <m/>
    <m/>
    <m/>
    <m/>
    <m/>
    <m/>
    <n v="0"/>
    <n v="0"/>
    <n v="0"/>
    <n v="0"/>
    <m/>
    <m/>
    <n v="0"/>
    <n v="0"/>
    <m/>
    <m/>
    <m/>
    <m/>
    <m/>
    <m/>
    <m/>
    <m/>
    <n v="0"/>
    <n v="0"/>
    <n v="0"/>
    <n v="0"/>
    <n v="4059.7333333333331"/>
    <n v="3598.3666666666668"/>
  </r>
  <r>
    <x v="0"/>
    <s v="Bishop State Community College"/>
    <m/>
    <n v="102030"/>
    <x v="7"/>
    <s v="sem"/>
    <s v="sem"/>
    <m/>
    <m/>
    <n v="35275"/>
    <n v="36750"/>
    <n v="16660"/>
    <n v="16077"/>
    <n v="34475"/>
    <n v="37535"/>
    <n v="86410"/>
    <n v="2880.3333333333335"/>
    <n v="90362"/>
    <n v="3012.0666666666666"/>
    <n v="3809"/>
    <n v="3808"/>
    <n v="86410"/>
    <n v="90362"/>
    <m/>
    <m/>
    <m/>
    <m/>
    <m/>
    <m/>
    <m/>
    <m/>
    <n v="0"/>
    <n v="0"/>
    <n v="0"/>
    <n v="0"/>
    <m/>
    <m/>
    <n v="0"/>
    <n v="0"/>
    <m/>
    <m/>
    <m/>
    <m/>
    <m/>
    <m/>
    <m/>
    <m/>
    <n v="0"/>
    <n v="0"/>
    <n v="0"/>
    <n v="0"/>
    <n v="2880.3333333333335"/>
    <n v="3012.0666666666666"/>
  </r>
  <r>
    <x v="0"/>
    <s v="Central Alabama Community College"/>
    <s v="Reclassified: Met the criteria for Two-Year 2 in 2009-10, 2010-11 and 2011-12."/>
    <n v="100760"/>
    <x v="7"/>
    <s v="sem"/>
    <s v="sem"/>
    <m/>
    <m/>
    <n v="25308"/>
    <n v="23564"/>
    <n v="14585"/>
    <n v="12652"/>
    <n v="26629"/>
    <n v="26211"/>
    <n v="66522"/>
    <n v="2217.4"/>
    <n v="62427"/>
    <n v="2080.9"/>
    <n v="870"/>
    <n v="870"/>
    <n v="66522"/>
    <n v="62427"/>
    <m/>
    <m/>
    <m/>
    <m/>
    <m/>
    <m/>
    <m/>
    <m/>
    <n v="0"/>
    <n v="0"/>
    <n v="0"/>
    <n v="0"/>
    <m/>
    <m/>
    <n v="0"/>
    <n v="0"/>
    <m/>
    <m/>
    <m/>
    <m/>
    <m/>
    <m/>
    <m/>
    <m/>
    <n v="0"/>
    <n v="0"/>
    <n v="0"/>
    <n v="0"/>
    <n v="2217.4"/>
    <n v="2080.9"/>
  </r>
  <r>
    <x v="0"/>
    <s v="Enterprise State Community College"/>
    <s v="Reclassified: Met the criteria for Two-Year 2 in 2009-10, 2010-11 and 2011-12. Formerly listed as Enterprise-Ozark Community College -- name changed in 2009."/>
    <n v="101143"/>
    <x v="7"/>
    <s v="sem"/>
    <s v="sem"/>
    <m/>
    <m/>
    <n v="31998"/>
    <n v="32701"/>
    <n v="18066"/>
    <n v="17224"/>
    <n v="33445"/>
    <n v="31824"/>
    <n v="83509"/>
    <n v="2783.6333333333332"/>
    <n v="81749"/>
    <n v="2724.9666666666667"/>
    <n v="2539"/>
    <n v="2660"/>
    <n v="83509"/>
    <n v="81749"/>
    <m/>
    <m/>
    <m/>
    <m/>
    <m/>
    <m/>
    <m/>
    <m/>
    <n v="0"/>
    <n v="0"/>
    <n v="0"/>
    <n v="0"/>
    <m/>
    <m/>
    <n v="0"/>
    <n v="0"/>
    <m/>
    <m/>
    <m/>
    <m/>
    <m/>
    <m/>
    <m/>
    <m/>
    <n v="0"/>
    <n v="0"/>
    <n v="0"/>
    <n v="0"/>
    <n v="2783.6333333333332"/>
    <n v="2724.9666666666667"/>
  </r>
  <r>
    <x v="0"/>
    <s v="George C. Wallace State Community College - Dothan"/>
    <m/>
    <n v="101286"/>
    <x v="7"/>
    <s v="sem"/>
    <s v="sem"/>
    <m/>
    <m/>
    <n v="47964"/>
    <n v="48365"/>
    <n v="28115"/>
    <n v="27326"/>
    <n v="50522"/>
    <n v="49568"/>
    <n v="126601"/>
    <n v="4220.0333333333338"/>
    <n v="125259"/>
    <n v="4175.3"/>
    <n v="2370"/>
    <n v="1953"/>
    <n v="126601"/>
    <n v="125259"/>
    <m/>
    <m/>
    <m/>
    <m/>
    <m/>
    <m/>
    <m/>
    <m/>
    <n v="0"/>
    <n v="0"/>
    <n v="0"/>
    <n v="0"/>
    <m/>
    <m/>
    <n v="0"/>
    <n v="0"/>
    <m/>
    <m/>
    <m/>
    <m/>
    <m/>
    <m/>
    <m/>
    <m/>
    <n v="0"/>
    <n v="0"/>
    <n v="0"/>
    <n v="0"/>
    <n v="4220.0333333333338"/>
    <n v="4175.3"/>
  </r>
  <r>
    <x v="0"/>
    <s v="James H. Faulkner State Community College"/>
    <m/>
    <n v="101161"/>
    <x v="7"/>
    <s v="sem"/>
    <s v="sem"/>
    <m/>
    <m/>
    <n v="46228"/>
    <n v="48165"/>
    <n v="21933"/>
    <n v="22353"/>
    <n v="50470"/>
    <n v="47216"/>
    <n v="118631"/>
    <n v="3954.3666666666668"/>
    <n v="117734"/>
    <n v="3924.4666666666667"/>
    <n v="2453"/>
    <n v="2833"/>
    <n v="118631"/>
    <n v="117734"/>
    <m/>
    <m/>
    <m/>
    <m/>
    <m/>
    <m/>
    <m/>
    <m/>
    <n v="0"/>
    <n v="0"/>
    <n v="0"/>
    <n v="0"/>
    <m/>
    <m/>
    <n v="0"/>
    <n v="0"/>
    <m/>
    <m/>
    <m/>
    <m/>
    <m/>
    <m/>
    <m/>
    <m/>
    <n v="0"/>
    <n v="0"/>
    <n v="0"/>
    <n v="0"/>
    <n v="3954.3666666666668"/>
    <n v="3924.4666666666667"/>
  </r>
  <r>
    <x v="0"/>
    <s v="Lawson State Community College "/>
    <m/>
    <n v="101569"/>
    <x v="7"/>
    <s v="sem"/>
    <s v="sem"/>
    <m/>
    <m/>
    <n v="44406"/>
    <n v="46382"/>
    <n v="21840"/>
    <n v="22575"/>
    <n v="50388"/>
    <n v="45440"/>
    <n v="116634"/>
    <n v="3887.8"/>
    <n v="114397"/>
    <n v="3813.2333333333331"/>
    <n v="539"/>
    <n v="825"/>
    <n v="116634"/>
    <n v="114397"/>
    <m/>
    <m/>
    <m/>
    <m/>
    <m/>
    <m/>
    <m/>
    <m/>
    <n v="0"/>
    <n v="0"/>
    <n v="0"/>
    <n v="0"/>
    <m/>
    <m/>
    <n v="0"/>
    <n v="0"/>
    <m/>
    <m/>
    <m/>
    <m/>
    <m/>
    <m/>
    <m/>
    <m/>
    <n v="0"/>
    <n v="0"/>
    <n v="0"/>
    <n v="0"/>
    <n v="3887.8"/>
    <n v="3813.2333333333331"/>
  </r>
  <r>
    <x v="0"/>
    <s v="Northeast Alabama State Community College "/>
    <m/>
    <n v="101897"/>
    <x v="7"/>
    <s v="sem"/>
    <s v="sem"/>
    <m/>
    <m/>
    <n v="34359"/>
    <n v="33700"/>
    <n v="19229"/>
    <n v="17668"/>
    <n v="35748"/>
    <n v="33253"/>
    <n v="89336"/>
    <n v="2977.8666666666668"/>
    <n v="84621"/>
    <n v="2820.7"/>
    <n v="3698"/>
    <n v="3830"/>
    <n v="89336"/>
    <n v="84621"/>
    <m/>
    <m/>
    <m/>
    <m/>
    <m/>
    <m/>
    <m/>
    <m/>
    <n v="0"/>
    <n v="0"/>
    <n v="0"/>
    <n v="0"/>
    <m/>
    <m/>
    <n v="0"/>
    <n v="0"/>
    <m/>
    <m/>
    <m/>
    <m/>
    <m/>
    <m/>
    <m/>
    <m/>
    <n v="0"/>
    <n v="0"/>
    <n v="0"/>
    <n v="0"/>
    <n v="2977.8666666666668"/>
    <n v="2820.7"/>
  </r>
  <r>
    <x v="0"/>
    <s v="Northwest-Shoals Community College"/>
    <m/>
    <n v="101736"/>
    <x v="7"/>
    <s v="sem"/>
    <s v="sem"/>
    <m/>
    <m/>
    <n v="41656"/>
    <n v="40076"/>
    <n v="18559"/>
    <n v="15184"/>
    <n v="45704"/>
    <n v="38579"/>
    <n v="105919"/>
    <n v="3530.6333333333332"/>
    <n v="93839"/>
    <n v="3127.9666666666667"/>
    <n v="4331"/>
    <n v="4701"/>
    <n v="105919"/>
    <n v="93839"/>
    <m/>
    <m/>
    <m/>
    <m/>
    <m/>
    <m/>
    <m/>
    <m/>
    <n v="0"/>
    <n v="0"/>
    <n v="0"/>
    <n v="0"/>
    <m/>
    <m/>
    <n v="0"/>
    <n v="0"/>
    <m/>
    <m/>
    <m/>
    <m/>
    <m/>
    <m/>
    <m/>
    <m/>
    <n v="0"/>
    <n v="0"/>
    <n v="0"/>
    <n v="0"/>
    <n v="3530.6333333333332"/>
    <n v="3127.9666666666667"/>
  </r>
  <r>
    <x v="0"/>
    <s v="Shelton State Community College"/>
    <m/>
    <n v="102067"/>
    <x v="7"/>
    <s v="sem"/>
    <s v="sem"/>
    <m/>
    <m/>
    <n v="58953"/>
    <n v="56989"/>
    <n v="33481"/>
    <n v="27055"/>
    <n v="62915"/>
    <n v="54601"/>
    <n v="155349"/>
    <n v="5178.3"/>
    <n v="138645"/>
    <n v="4621.5"/>
    <n v="886"/>
    <n v="607"/>
    <n v="155349"/>
    <n v="138645"/>
    <m/>
    <m/>
    <m/>
    <m/>
    <m/>
    <m/>
    <m/>
    <m/>
    <n v="0"/>
    <n v="0"/>
    <n v="0"/>
    <n v="0"/>
    <m/>
    <m/>
    <n v="0"/>
    <n v="0"/>
    <m/>
    <m/>
    <m/>
    <m/>
    <m/>
    <m/>
    <m/>
    <m/>
    <n v="0"/>
    <n v="0"/>
    <n v="0"/>
    <n v="0"/>
    <n v="5178.3"/>
    <n v="4621.5"/>
  </r>
  <r>
    <x v="0"/>
    <s v="Southern Union State Community College"/>
    <m/>
    <n v="251260"/>
    <x v="7"/>
    <s v="sem"/>
    <s v="sem"/>
    <m/>
    <m/>
    <n v="54409"/>
    <n v="52183"/>
    <n v="25831"/>
    <n v="25024"/>
    <n v="53258"/>
    <n v="56156"/>
    <n v="133498"/>
    <n v="4449.9333333333334"/>
    <n v="133363"/>
    <n v="4445.4333333333334"/>
    <n v="12"/>
    <n v="179"/>
    <n v="133498"/>
    <n v="133363"/>
    <m/>
    <m/>
    <m/>
    <m/>
    <m/>
    <m/>
    <m/>
    <m/>
    <n v="0"/>
    <n v="0"/>
    <n v="0"/>
    <n v="0"/>
    <m/>
    <m/>
    <n v="0"/>
    <n v="0"/>
    <m/>
    <m/>
    <m/>
    <m/>
    <m/>
    <m/>
    <m/>
    <m/>
    <n v="0"/>
    <n v="0"/>
    <n v="0"/>
    <n v="0"/>
    <n v="4449.9333333333334"/>
    <n v="4445.4333333333334"/>
  </r>
  <r>
    <x v="0"/>
    <s v="Alabama Southern Community College"/>
    <m/>
    <n v="101949"/>
    <x v="8"/>
    <s v="sem"/>
    <s v="sem"/>
    <m/>
    <m/>
    <n v="15953"/>
    <n v="16644"/>
    <n v="7436"/>
    <n v="7840"/>
    <n v="17087"/>
    <n v="16224"/>
    <n v="40476"/>
    <n v="1349.2"/>
    <n v="40708"/>
    <n v="1356.9333333333334"/>
    <n v="814"/>
    <n v="838"/>
    <n v="40476"/>
    <n v="40708"/>
    <m/>
    <m/>
    <m/>
    <m/>
    <m/>
    <m/>
    <m/>
    <m/>
    <n v="0"/>
    <n v="0"/>
    <n v="0"/>
    <n v="0"/>
    <m/>
    <m/>
    <n v="0"/>
    <n v="0"/>
    <m/>
    <m/>
    <m/>
    <m/>
    <m/>
    <m/>
    <m/>
    <m/>
    <n v="0"/>
    <n v="0"/>
    <n v="0"/>
    <n v="0"/>
    <n v="1349.2"/>
    <n v="1356.9333333333334"/>
  </r>
  <r>
    <x v="0"/>
    <s v="Chattahoochee Valley State Community College "/>
    <m/>
    <n v="101028"/>
    <x v="8"/>
    <s v="sem"/>
    <s v="sem"/>
    <m/>
    <m/>
    <n v="17953"/>
    <n v="17390"/>
    <n v="7761"/>
    <n v="7473"/>
    <n v="17480"/>
    <n v="17305"/>
    <n v="43194"/>
    <n v="1439.8"/>
    <n v="42168"/>
    <n v="1405.6"/>
    <n v="1078"/>
    <n v="1103"/>
    <n v="43194"/>
    <n v="42168"/>
    <m/>
    <m/>
    <m/>
    <m/>
    <m/>
    <m/>
    <m/>
    <m/>
    <n v="0"/>
    <n v="0"/>
    <n v="0"/>
    <n v="0"/>
    <m/>
    <m/>
    <n v="0"/>
    <n v="0"/>
    <m/>
    <m/>
    <m/>
    <m/>
    <m/>
    <m/>
    <m/>
    <m/>
    <n v="0"/>
    <n v="0"/>
    <n v="0"/>
    <n v="0"/>
    <n v="1439.8"/>
    <n v="1405.6"/>
  </r>
  <r>
    <x v="0"/>
    <s v="George Corley Wallace State Community College - Selma"/>
    <s v="Met the criteria for Two-Year 2 in 2011-12."/>
    <n v="101301"/>
    <x v="8"/>
    <s v="sem"/>
    <s v="sem"/>
    <m/>
    <m/>
    <n v="21205"/>
    <n v="20969"/>
    <n v="15885"/>
    <n v="17749"/>
    <n v="22777"/>
    <n v="22129"/>
    <n v="59867"/>
    <n v="1995.5666666666666"/>
    <n v="60847"/>
    <n v="2028.2333333333333"/>
    <n v="2119"/>
    <n v="3352"/>
    <n v="59867"/>
    <n v="60847"/>
    <m/>
    <m/>
    <m/>
    <m/>
    <m/>
    <m/>
    <m/>
    <m/>
    <n v="0"/>
    <n v="0"/>
    <n v="0"/>
    <n v="0"/>
    <m/>
    <m/>
    <n v="0"/>
    <n v="0"/>
    <m/>
    <m/>
    <m/>
    <m/>
    <m/>
    <m/>
    <m/>
    <m/>
    <n v="0"/>
    <n v="0"/>
    <n v="0"/>
    <n v="0"/>
    <n v="1995.5666666666666"/>
    <n v="2028.2333333333333"/>
  </r>
  <r>
    <x v="0"/>
    <s v="Jefferson Davis Community College"/>
    <m/>
    <n v="101499"/>
    <x v="8"/>
    <s v="sem"/>
    <s v="sem"/>
    <m/>
    <m/>
    <n v="14715"/>
    <n v="13054"/>
    <n v="7053"/>
    <n v="6189"/>
    <n v="13556"/>
    <n v="13058"/>
    <n v="35324"/>
    <n v="1177.4666666666667"/>
    <n v="32301"/>
    <n v="1076.7"/>
    <n v="643"/>
    <n v="335"/>
    <n v="35324"/>
    <n v="32301"/>
    <m/>
    <m/>
    <m/>
    <m/>
    <m/>
    <m/>
    <m/>
    <m/>
    <n v="0"/>
    <n v="0"/>
    <n v="0"/>
    <n v="0"/>
    <m/>
    <m/>
    <n v="0"/>
    <n v="0"/>
    <m/>
    <m/>
    <m/>
    <m/>
    <m/>
    <m/>
    <m/>
    <m/>
    <n v="0"/>
    <n v="0"/>
    <n v="0"/>
    <n v="0"/>
    <n v="1177.4666666666667"/>
    <n v="1076.7"/>
  </r>
  <r>
    <x v="0"/>
    <s v="Lurleen B. Wallace Community College "/>
    <m/>
    <n v="101602"/>
    <x v="8"/>
    <s v="sem"/>
    <s v="sem"/>
    <m/>
    <m/>
    <n v="18785"/>
    <n v="18987"/>
    <n v="11176"/>
    <n v="9795"/>
    <n v="20634"/>
    <n v="18627"/>
    <n v="50595"/>
    <n v="1686.5"/>
    <n v="47409"/>
    <n v="1580.3"/>
    <n v="1623"/>
    <n v="1806"/>
    <n v="50595"/>
    <n v="47409"/>
    <m/>
    <m/>
    <m/>
    <m/>
    <m/>
    <m/>
    <m/>
    <m/>
    <n v="0"/>
    <n v="0"/>
    <n v="0"/>
    <n v="0"/>
    <m/>
    <m/>
    <n v="0"/>
    <n v="0"/>
    <m/>
    <m/>
    <m/>
    <m/>
    <m/>
    <m/>
    <m/>
    <m/>
    <n v="0"/>
    <n v="0"/>
    <n v="0"/>
    <n v="0"/>
    <n v="1686.5"/>
    <n v="1580.3"/>
  </r>
  <r>
    <x v="0"/>
    <s v="Snead State Community College "/>
    <m/>
    <n v="102076"/>
    <x v="8"/>
    <s v="sem"/>
    <s v="sem"/>
    <m/>
    <m/>
    <n v="25669"/>
    <n v="24519"/>
    <n v="11078"/>
    <n v="9191"/>
    <n v="26557"/>
    <n v="26027"/>
    <n v="63304"/>
    <n v="2110.1333333333332"/>
    <n v="59737"/>
    <n v="1991.2333333333333"/>
    <n v="2113"/>
    <n v="1619"/>
    <n v="63304"/>
    <n v="59737"/>
    <m/>
    <m/>
    <m/>
    <m/>
    <m/>
    <m/>
    <m/>
    <m/>
    <n v="0"/>
    <n v="0"/>
    <n v="0"/>
    <n v="0"/>
    <m/>
    <m/>
    <n v="0"/>
    <n v="0"/>
    <m/>
    <m/>
    <m/>
    <m/>
    <m/>
    <m/>
    <m/>
    <m/>
    <n v="0"/>
    <n v="0"/>
    <n v="0"/>
    <n v="0"/>
    <n v="2110.1333333333332"/>
    <n v="1991.2333333333333"/>
  </r>
  <r>
    <x v="0"/>
    <s v="Trenholm State Technical College "/>
    <m/>
    <n v="102313"/>
    <x v="9"/>
    <s v="sem"/>
    <s v="sem"/>
    <m/>
    <m/>
    <n v="18387"/>
    <n v="18967"/>
    <n v="12912"/>
    <n v="12725"/>
    <n v="18418"/>
    <n v="17810"/>
    <n v="49717"/>
    <n v="1657.2333333333333"/>
    <n v="49502"/>
    <n v="1650.0666666666666"/>
    <n v="39"/>
    <n v="93"/>
    <n v="49717"/>
    <n v="49502"/>
    <m/>
    <m/>
    <m/>
    <m/>
    <m/>
    <m/>
    <m/>
    <m/>
    <n v="0"/>
    <n v="0"/>
    <n v="0"/>
    <n v="0"/>
    <m/>
    <m/>
    <n v="0"/>
    <n v="0"/>
    <m/>
    <m/>
    <m/>
    <m/>
    <m/>
    <m/>
    <m/>
    <m/>
    <n v="0"/>
    <n v="0"/>
    <n v="0"/>
    <n v="0"/>
    <n v="1657.2333333333333"/>
    <n v="1650.0666666666666"/>
  </r>
  <r>
    <x v="0"/>
    <s v="J.F. Drake State Technical College "/>
    <s v="Met the criteria for Technical Institute 1 in 2010-11 and 2011-12."/>
    <n v="101462"/>
    <x v="10"/>
    <s v="sem"/>
    <s v="sem"/>
    <m/>
    <m/>
    <n v="13300"/>
    <n v="12358"/>
    <n v="7383"/>
    <n v="7822"/>
    <n v="14659"/>
    <n v="11966"/>
    <n v="35342"/>
    <n v="1178.0666666666666"/>
    <n v="32146"/>
    <n v="1071.5333333333333"/>
    <n v="333"/>
    <n v="494"/>
    <n v="35342"/>
    <n v="32146"/>
    <m/>
    <m/>
    <m/>
    <m/>
    <m/>
    <m/>
    <m/>
    <m/>
    <n v="0"/>
    <n v="0"/>
    <n v="0"/>
    <n v="0"/>
    <m/>
    <m/>
    <n v="0"/>
    <n v="0"/>
    <m/>
    <m/>
    <m/>
    <m/>
    <m/>
    <m/>
    <m/>
    <m/>
    <n v="0"/>
    <n v="0"/>
    <n v="0"/>
    <n v="0"/>
    <n v="1178.0666666666666"/>
    <n v="1071.5333333333333"/>
  </r>
  <r>
    <x v="0"/>
    <s v="J.F. Ingram State Technical College "/>
    <m/>
    <n v="101471"/>
    <x v="10"/>
    <s v="sem"/>
    <s v="sem"/>
    <m/>
    <m/>
    <n v="7288"/>
    <n v="6793"/>
    <n v="6443"/>
    <n v="6510"/>
    <n v="7441"/>
    <n v="6833"/>
    <n v="21172"/>
    <n v="705.73333333333335"/>
    <n v="20136"/>
    <n v="671.2"/>
    <n v="0"/>
    <n v="0"/>
    <n v="21172"/>
    <n v="20136"/>
    <m/>
    <m/>
    <m/>
    <m/>
    <m/>
    <m/>
    <m/>
    <m/>
    <n v="0"/>
    <n v="0"/>
    <n v="0"/>
    <n v="0"/>
    <m/>
    <m/>
    <n v="0"/>
    <n v="0"/>
    <m/>
    <m/>
    <m/>
    <m/>
    <m/>
    <m/>
    <m/>
    <m/>
    <n v="0"/>
    <n v="0"/>
    <n v="0"/>
    <n v="0"/>
    <n v="705.73333333333335"/>
    <n v="671.2"/>
  </r>
  <r>
    <x v="0"/>
    <s v="Reid State Technical College "/>
    <m/>
    <n v="101994"/>
    <x v="10"/>
    <s v="sem"/>
    <s v="sem"/>
    <m/>
    <m/>
    <n v="8904"/>
    <n v="8016"/>
    <n v="5497"/>
    <n v="5670"/>
    <n v="8420"/>
    <n v="8087"/>
    <n v="22821"/>
    <n v="760.7"/>
    <n v="21773"/>
    <n v="725.76666666666665"/>
    <n v="921"/>
    <n v="1072"/>
    <n v="22821"/>
    <n v="21773"/>
    <m/>
    <m/>
    <m/>
    <m/>
    <m/>
    <m/>
    <m/>
    <m/>
    <n v="0"/>
    <n v="0"/>
    <n v="0"/>
    <n v="0"/>
    <m/>
    <m/>
    <n v="0"/>
    <n v="0"/>
    <m/>
    <m/>
    <m/>
    <m/>
    <m/>
    <m/>
    <m/>
    <m/>
    <n v="0"/>
    <n v="0"/>
    <n v="0"/>
    <n v="0"/>
    <n v="760.7"/>
    <n v="725.76666666666665"/>
  </r>
  <r>
    <x v="1"/>
    <s v="University of Arkansas, Fayetteville"/>
    <m/>
    <n v="106397"/>
    <x v="0"/>
    <s v="sem"/>
    <s v="sem"/>
    <m/>
    <m/>
    <n v="200371"/>
    <n v="223699"/>
    <n v="37721"/>
    <n v="40511"/>
    <n v="235246"/>
    <n v="261683"/>
    <n v="473338"/>
    <n v="15777.933333333332"/>
    <n v="525893"/>
    <n v="17529.766666666666"/>
    <n v="75"/>
    <n v="98"/>
    <n v="473338"/>
    <n v="525893"/>
    <m/>
    <m/>
    <m/>
    <m/>
    <m/>
    <m/>
    <m/>
    <m/>
    <n v="0"/>
    <n v="0"/>
    <n v="0"/>
    <n v="0"/>
    <m/>
    <m/>
    <n v="0"/>
    <n v="0"/>
    <m/>
    <m/>
    <n v="31531"/>
    <n v="33004"/>
    <n v="10979"/>
    <n v="11213"/>
    <n v="33077"/>
    <n v="32966"/>
    <n v="75587"/>
    <n v="3149.4583333333335"/>
    <n v="77183"/>
    <n v="3215.9583333333335"/>
    <n v="18927.391666666666"/>
    <n v="20745.724999999999"/>
  </r>
  <r>
    <x v="1"/>
    <s v="Arkansas State University"/>
    <m/>
    <n v="106458"/>
    <x v="2"/>
    <s v="sem"/>
    <s v="sem"/>
    <m/>
    <m/>
    <n v="118835"/>
    <n v="121311"/>
    <n v="22808"/>
    <n v="24842"/>
    <n v="129616"/>
    <n v="130144"/>
    <n v="271259"/>
    <n v="9041.9666666666672"/>
    <n v="276297"/>
    <n v="9209.9"/>
    <n v="4575"/>
    <n v="3258"/>
    <n v="271259"/>
    <n v="276297"/>
    <m/>
    <m/>
    <m/>
    <m/>
    <m/>
    <m/>
    <m/>
    <m/>
    <n v="0"/>
    <n v="0"/>
    <n v="0"/>
    <n v="0"/>
    <m/>
    <m/>
    <n v="0"/>
    <n v="0"/>
    <m/>
    <m/>
    <n v="22812"/>
    <n v="32427"/>
    <n v="16147"/>
    <n v="18831"/>
    <n v="30350"/>
    <n v="31621"/>
    <n v="69309"/>
    <n v="2887.875"/>
    <n v="82879"/>
    <n v="3453.2916666666665"/>
    <n v="11929.841666666667"/>
    <n v="12663.191666666666"/>
  </r>
  <r>
    <x v="1"/>
    <s v="University of Arkansas at Little Rock"/>
    <m/>
    <n v="106245"/>
    <x v="2"/>
    <s v="sem"/>
    <s v="sem"/>
    <m/>
    <m/>
    <n v="98508"/>
    <n v="103304"/>
    <n v="24459"/>
    <n v="23464"/>
    <n v="109976"/>
    <n v="110456"/>
    <n v="232943"/>
    <n v="7764.7666666666664"/>
    <n v="237224"/>
    <n v="7907.4666666666662"/>
    <n v="10313"/>
    <n v="12666"/>
    <n v="232943"/>
    <n v="237224"/>
    <m/>
    <m/>
    <m/>
    <m/>
    <m/>
    <m/>
    <m/>
    <m/>
    <n v="0"/>
    <n v="0"/>
    <n v="0"/>
    <n v="0"/>
    <m/>
    <m/>
    <n v="0"/>
    <n v="0"/>
    <m/>
    <m/>
    <n v="21857"/>
    <n v="21406"/>
    <n v="7337"/>
    <n v="7059"/>
    <n v="22295"/>
    <n v="21838"/>
    <n v="51489"/>
    <n v="2145.375"/>
    <n v="50303"/>
    <n v="2095.9583333333335"/>
    <n v="9910.1416666666664"/>
    <n v="10003.424999999999"/>
  </r>
  <r>
    <x v="1"/>
    <s v="University of Central Arkansas "/>
    <m/>
    <n v="106704"/>
    <x v="2"/>
    <s v="sem"/>
    <s v="sem"/>
    <m/>
    <m/>
    <n v="122700"/>
    <n v="120807"/>
    <n v="20026"/>
    <n v="20331"/>
    <n v="131690"/>
    <n v="130896"/>
    <n v="274416"/>
    <n v="9147.2000000000007"/>
    <n v="272034"/>
    <n v="9067.7999999999993"/>
    <n v="5012"/>
    <n v="4001"/>
    <n v="274416"/>
    <n v="272034"/>
    <m/>
    <m/>
    <m/>
    <m/>
    <m/>
    <m/>
    <m/>
    <m/>
    <n v="0"/>
    <n v="0"/>
    <n v="0"/>
    <n v="0"/>
    <m/>
    <m/>
    <n v="0"/>
    <n v="0"/>
    <m/>
    <m/>
    <n v="12464"/>
    <n v="12640"/>
    <n v="8180"/>
    <n v="8081"/>
    <n v="12355"/>
    <n v="12286"/>
    <n v="32999"/>
    <n v="1374.9583333333333"/>
    <n v="33007"/>
    <n v="1375.2916666666667"/>
    <n v="10522.158333333335"/>
    <n v="10443.091666666665"/>
  </r>
  <r>
    <x v="1"/>
    <s v="Arkansas Tech University"/>
    <s v="Met the criteria for Four-Year 3 in 2010-11 and 2011-12."/>
    <n v="106467"/>
    <x v="3"/>
    <s v="sem"/>
    <s v="sem"/>
    <m/>
    <m/>
    <n v="89852"/>
    <n v="95411"/>
    <n v="16377"/>
    <n v="15748"/>
    <n v="102455"/>
    <n v="107045"/>
    <n v="208684"/>
    <n v="6956.1333333333332"/>
    <n v="218204"/>
    <n v="7273.4666666666662"/>
    <n v="5755"/>
    <n v="6044"/>
    <n v="208684"/>
    <n v="218204"/>
    <m/>
    <m/>
    <m/>
    <m/>
    <m/>
    <m/>
    <m/>
    <m/>
    <n v="0"/>
    <n v="0"/>
    <n v="0"/>
    <n v="0"/>
    <m/>
    <m/>
    <n v="0"/>
    <n v="0"/>
    <m/>
    <m/>
    <n v="3768"/>
    <n v="4287"/>
    <n v="3639"/>
    <n v="4221"/>
    <n v="4277"/>
    <n v="4800"/>
    <n v="11684"/>
    <n v="486.83333333333331"/>
    <n v="13308"/>
    <n v="554.5"/>
    <n v="7442.9666666666662"/>
    <n v="7827.9666666666662"/>
  </r>
  <r>
    <x v="1"/>
    <s v="Henderson State University"/>
    <m/>
    <n v="107071"/>
    <x v="3"/>
    <s v="sem"/>
    <s v="sem"/>
    <m/>
    <m/>
    <n v="39893"/>
    <n v="43590"/>
    <n v="6756"/>
    <n v="7129"/>
    <n v="46686"/>
    <n v="47323"/>
    <n v="93335"/>
    <n v="3111.1666666666665"/>
    <n v="98042"/>
    <n v="3268.0666666666666"/>
    <n v="54"/>
    <n v="30"/>
    <n v="93335"/>
    <n v="98042"/>
    <m/>
    <m/>
    <m/>
    <m/>
    <m/>
    <m/>
    <m/>
    <m/>
    <n v="0"/>
    <n v="0"/>
    <n v="0"/>
    <n v="0"/>
    <m/>
    <m/>
    <n v="0"/>
    <n v="0"/>
    <m/>
    <m/>
    <n v="2679"/>
    <n v="2408"/>
    <n v="3650"/>
    <n v="3238"/>
    <n v="2319"/>
    <n v="2334"/>
    <n v="8648"/>
    <n v="360.33333333333331"/>
    <n v="7980"/>
    <n v="332.5"/>
    <n v="3471.5"/>
    <n v="3600.5666666666666"/>
  </r>
  <r>
    <x v="1"/>
    <s v="Southern Arkansas University"/>
    <s v="Reclassified: met the criteria for Four-Year 4 in 2009-10, 2010-11 and 2011-12."/>
    <n v="107983"/>
    <x v="3"/>
    <s v="sem"/>
    <s v="sem"/>
    <m/>
    <m/>
    <n v="35388"/>
    <n v="37068"/>
    <n v="5800"/>
    <n v="5367"/>
    <n v="40758"/>
    <n v="41110"/>
    <n v="81946"/>
    <n v="2731.5333333333333"/>
    <n v="83545"/>
    <n v="2784.8333333333335"/>
    <n v="576"/>
    <n v="694"/>
    <n v="81946"/>
    <n v="83545"/>
    <m/>
    <m/>
    <m/>
    <m/>
    <m/>
    <m/>
    <m/>
    <m/>
    <n v="0"/>
    <n v="0"/>
    <n v="0"/>
    <n v="0"/>
    <m/>
    <m/>
    <n v="0"/>
    <n v="0"/>
    <m/>
    <m/>
    <n v="2739"/>
    <n v="2813"/>
    <n v="2774"/>
    <n v="2013"/>
    <n v="2525"/>
    <n v="2722"/>
    <n v="8038"/>
    <n v="334.91666666666669"/>
    <n v="7548"/>
    <n v="314.5"/>
    <n v="3066.45"/>
    <n v="3099.3333333333335"/>
  </r>
  <r>
    <x v="1"/>
    <s v="University of Arkansas at Monticello"/>
    <m/>
    <n v="106485"/>
    <x v="4"/>
    <s v="sem"/>
    <s v="sem"/>
    <m/>
    <m/>
    <n v="30800"/>
    <n v="30307"/>
    <n v="6544"/>
    <n v="6430"/>
    <n v="33249"/>
    <n v="35265"/>
    <n v="70593"/>
    <n v="2353.1"/>
    <n v="72002"/>
    <n v="2400.0666666666666"/>
    <n v="3269"/>
    <n v="3921"/>
    <n v="70593"/>
    <n v="72002"/>
    <m/>
    <m/>
    <m/>
    <m/>
    <m/>
    <m/>
    <m/>
    <m/>
    <n v="0"/>
    <n v="0"/>
    <n v="0"/>
    <n v="0"/>
    <m/>
    <m/>
    <n v="0"/>
    <n v="0"/>
    <m/>
    <m/>
    <n v="787"/>
    <n v="805"/>
    <n v="951"/>
    <n v="616"/>
    <n v="853"/>
    <n v="658"/>
    <n v="2591"/>
    <n v="107.95833333333333"/>
    <n v="2079"/>
    <n v="86.625"/>
    <n v="2461.0583333333334"/>
    <n v="2486.6916666666666"/>
  </r>
  <r>
    <x v="1"/>
    <s v="University of Arkansas at Fort Smith"/>
    <m/>
    <n v="108092"/>
    <x v="5"/>
    <s v="sem"/>
    <s v="sem"/>
    <m/>
    <m/>
    <n v="79705"/>
    <n v="84836"/>
    <n v="18344"/>
    <n v="16516"/>
    <n v="90733"/>
    <n v="90560"/>
    <n v="188782"/>
    <n v="6292.7333333333336"/>
    <n v="191912"/>
    <n v="6397.0666666666666"/>
    <n v="8102"/>
    <n v="8565"/>
    <n v="188782"/>
    <n v="191912"/>
    <m/>
    <m/>
    <m/>
    <m/>
    <m/>
    <m/>
    <m/>
    <m/>
    <n v="0"/>
    <n v="0"/>
    <n v="0"/>
    <n v="0"/>
    <m/>
    <m/>
    <n v="0"/>
    <n v="0"/>
    <m/>
    <m/>
    <m/>
    <n v="0"/>
    <m/>
    <n v="0"/>
    <m/>
    <n v="0"/>
    <n v="0"/>
    <n v="0"/>
    <n v="0"/>
    <n v="0"/>
    <n v="6292.7333333333336"/>
    <n v="6397.0666666666666"/>
  </r>
  <r>
    <x v="1"/>
    <s v="University of Arkansas at Pine Bluff"/>
    <m/>
    <n v="106412"/>
    <x v="5"/>
    <s v="sem"/>
    <s v="sem"/>
    <m/>
    <m/>
    <n v="44399"/>
    <n v="39816"/>
    <n v="5639"/>
    <n v="6408"/>
    <n v="45432"/>
    <n v="42531"/>
    <n v="95470"/>
    <n v="3182.3333333333335"/>
    <n v="88755"/>
    <n v="2958.5"/>
    <n v="3"/>
    <n v="9"/>
    <n v="95470"/>
    <n v="88755"/>
    <m/>
    <m/>
    <m/>
    <m/>
    <m/>
    <m/>
    <m/>
    <m/>
    <n v="0"/>
    <n v="0"/>
    <n v="0"/>
    <n v="0"/>
    <m/>
    <m/>
    <n v="0"/>
    <n v="0"/>
    <m/>
    <m/>
    <n v="961"/>
    <n v="821"/>
    <n v="312"/>
    <n v="296"/>
    <n v="859"/>
    <n v="768"/>
    <n v="2132"/>
    <n v="88.833333333333329"/>
    <n v="1885"/>
    <n v="78.541666666666671"/>
    <n v="3271.166666666667"/>
    <n v="3037.0416666666665"/>
  </r>
  <r>
    <x v="1"/>
    <s v="Northwest Arkansas Community College "/>
    <s v="Reclassified: Met the criteria for Two-Year 1 in 2009-10, 2010-11 and 2011-12."/>
    <n v="367459"/>
    <x v="6"/>
    <s v="sem"/>
    <s v="sem"/>
    <m/>
    <m/>
    <n v="73933"/>
    <n v="75886"/>
    <n v="18190"/>
    <n v="18386"/>
    <n v="78964"/>
    <n v="79801"/>
    <n v="171087"/>
    <n v="5702.9"/>
    <n v="174073"/>
    <n v="5802.4333333333334"/>
    <n v="5933"/>
    <n v="5733"/>
    <n v="171087"/>
    <n v="174073"/>
    <m/>
    <m/>
    <m/>
    <m/>
    <m/>
    <m/>
    <m/>
    <m/>
    <n v="0"/>
    <n v="0"/>
    <n v="0"/>
    <n v="0"/>
    <m/>
    <m/>
    <n v="0"/>
    <n v="0"/>
    <m/>
    <m/>
    <m/>
    <m/>
    <m/>
    <m/>
    <m/>
    <m/>
    <n v="0"/>
    <n v="0"/>
    <n v="0"/>
    <n v="0"/>
    <n v="5702.9"/>
    <n v="5802.4333333333334"/>
  </r>
  <r>
    <x v="1"/>
    <s v="Pulaski Technical College"/>
    <m/>
    <n v="107664"/>
    <x v="6"/>
    <s v="sem"/>
    <s v="sem"/>
    <m/>
    <m/>
    <n v="110579"/>
    <n v="114525"/>
    <n v="23839"/>
    <n v="27409"/>
    <n v="111678"/>
    <n v="119737"/>
    <n v="246096"/>
    <n v="8203.2000000000007"/>
    <n v="261671"/>
    <n v="8722.3666666666668"/>
    <n v="3357"/>
    <n v="3065"/>
    <n v="246096"/>
    <n v="261671"/>
    <m/>
    <m/>
    <m/>
    <m/>
    <m/>
    <m/>
    <m/>
    <m/>
    <n v="0"/>
    <n v="0"/>
    <n v="0"/>
    <n v="0"/>
    <m/>
    <m/>
    <n v="0"/>
    <n v="0"/>
    <m/>
    <m/>
    <m/>
    <m/>
    <m/>
    <m/>
    <m/>
    <m/>
    <n v="0"/>
    <n v="0"/>
    <n v="0"/>
    <n v="0"/>
    <n v="8203.2000000000007"/>
    <n v="8722.3666666666668"/>
  </r>
  <r>
    <x v="1"/>
    <s v="Arkansas State University-Beebe"/>
    <m/>
    <n v="106449"/>
    <x v="7"/>
    <s v="sem"/>
    <s v="sem"/>
    <m/>
    <m/>
    <n v="46524"/>
    <n v="47248"/>
    <n v="10140"/>
    <n v="10143"/>
    <n v="49556"/>
    <n v="48848"/>
    <n v="106220"/>
    <n v="3540.6666666666665"/>
    <n v="106239"/>
    <n v="3541.3"/>
    <n v="6439"/>
    <n v="6943"/>
    <n v="106220"/>
    <n v="106239"/>
    <m/>
    <m/>
    <m/>
    <m/>
    <m/>
    <m/>
    <m/>
    <m/>
    <n v="0"/>
    <n v="0"/>
    <n v="0"/>
    <n v="0"/>
    <m/>
    <m/>
    <n v="0"/>
    <n v="0"/>
    <m/>
    <m/>
    <m/>
    <m/>
    <m/>
    <m/>
    <m/>
    <m/>
    <n v="0"/>
    <n v="0"/>
    <n v="0"/>
    <n v="0"/>
    <n v="3540.6666666666665"/>
    <n v="3541.3"/>
  </r>
  <r>
    <x v="1"/>
    <s v="National Park Community College"/>
    <m/>
    <n v="106980"/>
    <x v="7"/>
    <s v="sem"/>
    <s v="sem"/>
    <m/>
    <m/>
    <n v="40114"/>
    <n v="37006"/>
    <n v="9628"/>
    <n v="8939"/>
    <n v="37094"/>
    <n v="40731"/>
    <n v="86836"/>
    <n v="2894.5333333333333"/>
    <n v="86676"/>
    <n v="2889.2"/>
    <n v="3954"/>
    <n v="5730"/>
    <n v="86836"/>
    <n v="86676"/>
    <m/>
    <m/>
    <m/>
    <m/>
    <m/>
    <m/>
    <m/>
    <m/>
    <n v="0"/>
    <n v="0"/>
    <n v="0"/>
    <n v="0"/>
    <m/>
    <m/>
    <n v="0"/>
    <n v="0"/>
    <m/>
    <m/>
    <m/>
    <m/>
    <m/>
    <m/>
    <m/>
    <m/>
    <n v="0"/>
    <n v="0"/>
    <n v="0"/>
    <n v="0"/>
    <n v="2894.5333333333333"/>
    <n v="2889.2"/>
  </r>
  <r>
    <x v="1"/>
    <s v="Arkansas Northeastern College"/>
    <m/>
    <n v="107327"/>
    <x v="8"/>
    <s v="sem"/>
    <s v="sem"/>
    <m/>
    <m/>
    <n v="19336"/>
    <n v="18136"/>
    <n v="5809"/>
    <n v="4353"/>
    <n v="20042"/>
    <n v="18526"/>
    <n v="45187"/>
    <n v="1506.2333333333333"/>
    <n v="41015"/>
    <n v="1367.1666666666667"/>
    <n v="1487"/>
    <n v="1315"/>
    <n v="45187"/>
    <n v="41015"/>
    <m/>
    <m/>
    <m/>
    <m/>
    <m/>
    <m/>
    <m/>
    <m/>
    <n v="0"/>
    <n v="0"/>
    <n v="0"/>
    <n v="0"/>
    <m/>
    <m/>
    <n v="0"/>
    <n v="0"/>
    <m/>
    <m/>
    <m/>
    <m/>
    <m/>
    <m/>
    <m/>
    <m/>
    <n v="0"/>
    <n v="0"/>
    <n v="0"/>
    <n v="0"/>
    <n v="1506.2333333333333"/>
    <n v="1367.1666666666667"/>
  </r>
  <r>
    <x v="1"/>
    <s v="Arkansas State University Mountain Home"/>
    <m/>
    <n v="420538"/>
    <x v="8"/>
    <s v="sem"/>
    <s v="sem"/>
    <m/>
    <m/>
    <n v="16202"/>
    <n v="15864"/>
    <n v="3841"/>
    <n v="3293"/>
    <n v="17499"/>
    <n v="16415"/>
    <n v="37542"/>
    <n v="1251.4000000000001"/>
    <n v="35572"/>
    <n v="1185.7333333333333"/>
    <n v="507"/>
    <n v="535"/>
    <n v="37542"/>
    <n v="35572"/>
    <m/>
    <m/>
    <m/>
    <m/>
    <m/>
    <m/>
    <m/>
    <m/>
    <n v="0"/>
    <n v="0"/>
    <n v="0"/>
    <n v="0"/>
    <m/>
    <m/>
    <n v="0"/>
    <n v="0"/>
    <m/>
    <m/>
    <m/>
    <m/>
    <m/>
    <m/>
    <m/>
    <m/>
    <n v="0"/>
    <n v="0"/>
    <n v="0"/>
    <n v="0"/>
    <n v="1251.4000000000001"/>
    <n v="1185.7333333333333"/>
  </r>
  <r>
    <x v="1"/>
    <s v="Arkansas State University-Newport"/>
    <m/>
    <n v="440402"/>
    <x v="8"/>
    <s v="sem"/>
    <s v="sem"/>
    <m/>
    <m/>
    <n v="18878"/>
    <n v="17811"/>
    <n v="8030"/>
    <n v="7597"/>
    <n v="19850"/>
    <n v="18807"/>
    <n v="46758"/>
    <n v="1558.6"/>
    <n v="44215"/>
    <n v="1473.8333333333333"/>
    <n v="5794"/>
    <n v="5458"/>
    <n v="46758"/>
    <n v="44215"/>
    <m/>
    <m/>
    <m/>
    <m/>
    <m/>
    <m/>
    <m/>
    <m/>
    <n v="0"/>
    <n v="0"/>
    <n v="0"/>
    <n v="0"/>
    <m/>
    <m/>
    <n v="0"/>
    <n v="0"/>
    <m/>
    <m/>
    <m/>
    <m/>
    <m/>
    <m/>
    <m/>
    <m/>
    <n v="0"/>
    <n v="0"/>
    <n v="0"/>
    <n v="0"/>
    <n v="1558.6"/>
    <n v="1473.8333333333333"/>
  </r>
  <r>
    <x v="1"/>
    <s v="Black River Technical College"/>
    <s v="Met the criteria for Two-Year 2 in 2010-11 and 2011-12."/>
    <n v="106625"/>
    <x v="8"/>
    <s v="sem"/>
    <s v="sem"/>
    <m/>
    <m/>
    <n v="25597"/>
    <n v="28142"/>
    <n v="6917"/>
    <n v="6566"/>
    <n v="28148"/>
    <n v="28259"/>
    <n v="60662"/>
    <n v="2022.0666666666666"/>
    <n v="62967"/>
    <n v="2098.9"/>
    <n v="2168"/>
    <n v="2331"/>
    <n v="60662"/>
    <n v="62967"/>
    <m/>
    <m/>
    <m/>
    <m/>
    <m/>
    <m/>
    <m/>
    <m/>
    <n v="0"/>
    <n v="0"/>
    <n v="0"/>
    <n v="0"/>
    <m/>
    <m/>
    <n v="0"/>
    <n v="0"/>
    <m/>
    <m/>
    <m/>
    <m/>
    <m/>
    <m/>
    <m/>
    <m/>
    <n v="0"/>
    <n v="0"/>
    <n v="0"/>
    <n v="0"/>
    <n v="2022.0666666666666"/>
    <n v="2098.9"/>
  </r>
  <r>
    <x v="1"/>
    <s v="College of the Ouachitas"/>
    <s v="Formerly Ouachita Technical College."/>
    <n v="107521"/>
    <x v="8"/>
    <s v="sem"/>
    <s v="sem"/>
    <m/>
    <m/>
    <n v="12535"/>
    <n v="13485"/>
    <n v="2483"/>
    <n v="2590"/>
    <n v="13735"/>
    <n v="13181"/>
    <n v="28753"/>
    <n v="958.43333333333328"/>
    <n v="29256"/>
    <n v="975.2"/>
    <n v="4493"/>
    <n v="5560"/>
    <n v="28753"/>
    <n v="29256"/>
    <m/>
    <m/>
    <m/>
    <m/>
    <m/>
    <m/>
    <m/>
    <m/>
    <n v="0"/>
    <n v="0"/>
    <n v="0"/>
    <n v="0"/>
    <m/>
    <m/>
    <n v="0"/>
    <n v="0"/>
    <m/>
    <m/>
    <m/>
    <m/>
    <m/>
    <m/>
    <m/>
    <m/>
    <n v="0"/>
    <n v="0"/>
    <n v="0"/>
    <n v="0"/>
    <n v="958.43333333333328"/>
    <n v="975.2"/>
  </r>
  <r>
    <x v="1"/>
    <s v="Cossatot Community College of the University of Arkansas"/>
    <m/>
    <n v="106795"/>
    <x v="8"/>
    <s v="sem"/>
    <s v="sem"/>
    <m/>
    <m/>
    <n v="13458"/>
    <n v="14067"/>
    <n v="4264"/>
    <n v="3942"/>
    <n v="14480"/>
    <n v="13642"/>
    <n v="32202"/>
    <n v="1073.4000000000001"/>
    <n v="31651"/>
    <n v="1055.0333333333333"/>
    <n v="3338"/>
    <n v="3366"/>
    <n v="32202"/>
    <n v="31651"/>
    <m/>
    <m/>
    <m/>
    <m/>
    <m/>
    <m/>
    <m/>
    <m/>
    <n v="0"/>
    <n v="0"/>
    <n v="0"/>
    <n v="0"/>
    <m/>
    <m/>
    <n v="0"/>
    <n v="0"/>
    <m/>
    <m/>
    <m/>
    <m/>
    <m/>
    <m/>
    <m/>
    <m/>
    <n v="0"/>
    <n v="0"/>
    <n v="0"/>
    <n v="0"/>
    <n v="1073.4000000000001"/>
    <n v="1055.0333333333333"/>
  </r>
  <r>
    <x v="1"/>
    <s v="East Arkansas Community College "/>
    <m/>
    <n v="106883"/>
    <x v="8"/>
    <s v="sem"/>
    <s v="sem"/>
    <m/>
    <m/>
    <n v="14103"/>
    <n v="12789"/>
    <n v="4552"/>
    <n v="4393"/>
    <n v="13460"/>
    <n v="12236"/>
    <n v="32115"/>
    <n v="1070.5"/>
    <n v="29418"/>
    <n v="980.6"/>
    <n v="967"/>
    <n v="1021"/>
    <n v="32115"/>
    <n v="29418"/>
    <m/>
    <m/>
    <m/>
    <m/>
    <m/>
    <m/>
    <m/>
    <m/>
    <n v="0"/>
    <n v="0"/>
    <n v="0"/>
    <n v="0"/>
    <m/>
    <m/>
    <n v="0"/>
    <n v="0"/>
    <m/>
    <m/>
    <m/>
    <m/>
    <m/>
    <m/>
    <m/>
    <m/>
    <n v="0"/>
    <n v="0"/>
    <n v="0"/>
    <n v="0"/>
    <n v="1070.5"/>
    <n v="980.6"/>
  </r>
  <r>
    <x v="1"/>
    <s v="Mid-South Community College "/>
    <m/>
    <n v="107318"/>
    <x v="8"/>
    <s v="sem"/>
    <s v="sem"/>
    <m/>
    <m/>
    <n v="17891"/>
    <n v="16776"/>
    <n v="4904"/>
    <n v="3003"/>
    <n v="20720"/>
    <n v="18875"/>
    <n v="43515"/>
    <n v="1450.5"/>
    <n v="38654"/>
    <n v="1288.4666666666667"/>
    <n v="3764"/>
    <n v="4612"/>
    <n v="43515"/>
    <n v="38654"/>
    <m/>
    <m/>
    <m/>
    <m/>
    <m/>
    <m/>
    <m/>
    <m/>
    <n v="0"/>
    <n v="0"/>
    <n v="0"/>
    <n v="0"/>
    <m/>
    <m/>
    <n v="0"/>
    <n v="0"/>
    <m/>
    <m/>
    <m/>
    <m/>
    <m/>
    <m/>
    <m/>
    <m/>
    <n v="0"/>
    <n v="0"/>
    <n v="0"/>
    <n v="0"/>
    <n v="1450.5"/>
    <n v="1288.4666666666667"/>
  </r>
  <r>
    <x v="1"/>
    <s v="North Arkansas College"/>
    <m/>
    <n v="107460"/>
    <x v="8"/>
    <s v="sem"/>
    <s v="sem"/>
    <m/>
    <m/>
    <n v="25603"/>
    <n v="26346"/>
    <n v="3878"/>
    <n v="4023"/>
    <n v="27432"/>
    <n v="25954"/>
    <n v="56913"/>
    <n v="1897.1"/>
    <n v="56323"/>
    <n v="1877.4333333333334"/>
    <n v="2086"/>
    <n v="1896"/>
    <n v="56913"/>
    <n v="56323"/>
    <m/>
    <m/>
    <m/>
    <m/>
    <m/>
    <m/>
    <m/>
    <m/>
    <n v="0"/>
    <n v="0"/>
    <n v="0"/>
    <n v="0"/>
    <m/>
    <m/>
    <n v="0"/>
    <n v="0"/>
    <m/>
    <m/>
    <m/>
    <m/>
    <m/>
    <m/>
    <m/>
    <m/>
    <n v="0"/>
    <n v="0"/>
    <n v="0"/>
    <n v="0"/>
    <n v="1897.1"/>
    <n v="1877.4333333333334"/>
  </r>
  <r>
    <x v="1"/>
    <s v="Ozarka College "/>
    <m/>
    <n v="107549"/>
    <x v="8"/>
    <s v="sem"/>
    <s v="sem"/>
    <m/>
    <m/>
    <n v="13868"/>
    <n v="17413"/>
    <n v="3247"/>
    <n v="3965"/>
    <n v="16775"/>
    <n v="17576"/>
    <n v="33890"/>
    <n v="1129.6666666666667"/>
    <n v="38954"/>
    <n v="1298.4666666666667"/>
    <n v="1359"/>
    <n v="1257"/>
    <n v="33890"/>
    <n v="38954"/>
    <m/>
    <m/>
    <m/>
    <m/>
    <m/>
    <m/>
    <m/>
    <m/>
    <n v="0"/>
    <n v="0"/>
    <n v="0"/>
    <n v="0"/>
    <m/>
    <m/>
    <n v="0"/>
    <n v="0"/>
    <m/>
    <m/>
    <m/>
    <m/>
    <m/>
    <m/>
    <m/>
    <m/>
    <n v="0"/>
    <n v="0"/>
    <n v="0"/>
    <n v="0"/>
    <n v="1129.6666666666667"/>
    <n v="1298.4666666666667"/>
  </r>
  <r>
    <x v="1"/>
    <s v="Phillips Community College of the Univ of Arkansas"/>
    <m/>
    <n v="107619"/>
    <x v="8"/>
    <s v="sem"/>
    <s v="sem"/>
    <m/>
    <m/>
    <n v="18463"/>
    <n v="17287"/>
    <n v="3749"/>
    <n v="3844"/>
    <n v="19205"/>
    <n v="18885"/>
    <n v="41417"/>
    <n v="1380.5666666666666"/>
    <n v="40016"/>
    <n v="1333.8666666666666"/>
    <n v="5611"/>
    <n v="6604"/>
    <n v="41417"/>
    <n v="40016"/>
    <m/>
    <m/>
    <m/>
    <m/>
    <m/>
    <m/>
    <m/>
    <m/>
    <n v="0"/>
    <n v="0"/>
    <n v="0"/>
    <n v="0"/>
    <m/>
    <m/>
    <n v="0"/>
    <n v="0"/>
    <m/>
    <m/>
    <m/>
    <m/>
    <m/>
    <m/>
    <m/>
    <m/>
    <n v="0"/>
    <n v="0"/>
    <n v="0"/>
    <n v="0"/>
    <n v="1380.5666666666666"/>
    <n v="1333.8666666666666"/>
  </r>
  <r>
    <x v="1"/>
    <s v="Rich Mountain Community College "/>
    <m/>
    <n v="107743"/>
    <x v="8"/>
    <s v="sem"/>
    <s v="sem"/>
    <m/>
    <m/>
    <n v="9167"/>
    <n v="9605"/>
    <n v="1406"/>
    <n v="1459"/>
    <n v="9539"/>
    <n v="9769"/>
    <n v="20112"/>
    <n v="670.4"/>
    <n v="20833"/>
    <n v="694.43333333333328"/>
    <n v="2569"/>
    <n v="2683"/>
    <n v="20112"/>
    <n v="20833"/>
    <m/>
    <m/>
    <m/>
    <m/>
    <m/>
    <m/>
    <m/>
    <m/>
    <n v="0"/>
    <n v="0"/>
    <n v="0"/>
    <n v="0"/>
    <m/>
    <m/>
    <n v="0"/>
    <n v="0"/>
    <m/>
    <m/>
    <m/>
    <m/>
    <m/>
    <m/>
    <m/>
    <m/>
    <n v="0"/>
    <n v="0"/>
    <n v="0"/>
    <n v="0"/>
    <n v="670.4"/>
    <n v="694.43333333333328"/>
  </r>
  <r>
    <x v="1"/>
    <s v="South Arkansas Community College"/>
    <m/>
    <n v="107974"/>
    <x v="8"/>
    <s v="sem"/>
    <s v="sem"/>
    <m/>
    <m/>
    <n v="17189"/>
    <n v="17047"/>
    <n v="6603"/>
    <n v="7185"/>
    <n v="17039"/>
    <n v="17513"/>
    <n v="40831"/>
    <n v="1361.0333333333333"/>
    <n v="41745"/>
    <n v="1391.5"/>
    <n v="2371"/>
    <n v="2397"/>
    <n v="40831"/>
    <n v="41745"/>
    <m/>
    <m/>
    <m/>
    <m/>
    <m/>
    <m/>
    <m/>
    <m/>
    <n v="0"/>
    <n v="0"/>
    <n v="0"/>
    <n v="0"/>
    <m/>
    <m/>
    <n v="0"/>
    <n v="0"/>
    <m/>
    <m/>
    <m/>
    <m/>
    <m/>
    <m/>
    <m/>
    <m/>
    <n v="0"/>
    <n v="0"/>
    <n v="0"/>
    <n v="0"/>
    <n v="1361.0333333333333"/>
    <n v="1391.5"/>
  </r>
  <r>
    <x v="1"/>
    <s v="Southeast Arkansas College"/>
    <m/>
    <n v="107637"/>
    <x v="8"/>
    <s v="sem"/>
    <s v="sem"/>
    <m/>
    <m/>
    <n v="20837"/>
    <n v="19519"/>
    <n v="6763"/>
    <n v="6006"/>
    <n v="20963"/>
    <n v="21344"/>
    <n v="48563"/>
    <n v="1618.7666666666667"/>
    <n v="46869"/>
    <n v="1562.3"/>
    <n v="978"/>
    <n v="2111"/>
    <n v="48563"/>
    <n v="46869"/>
    <m/>
    <m/>
    <m/>
    <m/>
    <m/>
    <m/>
    <m/>
    <m/>
    <n v="0"/>
    <n v="0"/>
    <n v="0"/>
    <n v="0"/>
    <m/>
    <m/>
    <n v="0"/>
    <n v="0"/>
    <m/>
    <m/>
    <m/>
    <m/>
    <m/>
    <m/>
    <m/>
    <m/>
    <n v="0"/>
    <n v="0"/>
    <n v="0"/>
    <n v="0"/>
    <n v="1618.7666666666667"/>
    <n v="1562.3"/>
  </r>
  <r>
    <x v="1"/>
    <s v="Southern Arkansas University Tech"/>
    <m/>
    <n v="107992"/>
    <x v="8"/>
    <s v="sem"/>
    <s v="sem"/>
    <m/>
    <m/>
    <n v="17923"/>
    <n v="18874"/>
    <n v="5092"/>
    <n v="5377"/>
    <n v="16243"/>
    <n v="18006"/>
    <n v="39258"/>
    <n v="1308.5999999999999"/>
    <n v="42257"/>
    <n v="1408.5666666666666"/>
    <n v="8380"/>
    <n v="10801"/>
    <n v="39258"/>
    <n v="42257"/>
    <m/>
    <m/>
    <m/>
    <m/>
    <m/>
    <m/>
    <m/>
    <m/>
    <n v="0"/>
    <n v="0"/>
    <n v="0"/>
    <n v="0"/>
    <m/>
    <m/>
    <n v="0"/>
    <n v="0"/>
    <m/>
    <m/>
    <m/>
    <m/>
    <m/>
    <m/>
    <m/>
    <m/>
    <n v="0"/>
    <n v="0"/>
    <n v="0"/>
    <n v="0"/>
    <n v="1308.5999999999999"/>
    <n v="1408.5666666666666"/>
  </r>
  <r>
    <x v="1"/>
    <s v="University of Arkansas Community College at Batesville"/>
    <m/>
    <n v="106999"/>
    <x v="8"/>
    <s v="sem"/>
    <s v="sem"/>
    <m/>
    <m/>
    <n v="18869"/>
    <n v="18090"/>
    <n v="4055"/>
    <n v="3530"/>
    <n v="18553"/>
    <n v="17005"/>
    <n v="41477"/>
    <n v="1382.5666666666666"/>
    <n v="38625"/>
    <n v="1287.5"/>
    <n v="799"/>
    <n v="924"/>
    <n v="41477"/>
    <n v="38625"/>
    <m/>
    <m/>
    <m/>
    <m/>
    <m/>
    <m/>
    <m/>
    <m/>
    <n v="0"/>
    <n v="0"/>
    <n v="0"/>
    <n v="0"/>
    <m/>
    <m/>
    <n v="0"/>
    <n v="0"/>
    <m/>
    <m/>
    <m/>
    <m/>
    <m/>
    <m/>
    <m/>
    <m/>
    <n v="0"/>
    <n v="0"/>
    <n v="0"/>
    <n v="0"/>
    <n v="1382.5666666666666"/>
    <n v="1287.5"/>
  </r>
  <r>
    <x v="1"/>
    <s v="University of Arkansas Community College at Hope"/>
    <m/>
    <n v="107725"/>
    <x v="8"/>
    <s v="sem"/>
    <s v="sem"/>
    <m/>
    <m/>
    <n v="15148"/>
    <n v="14520"/>
    <n v="3265"/>
    <n v="2923"/>
    <n v="16164"/>
    <n v="14038"/>
    <n v="34577"/>
    <n v="1152.5666666666666"/>
    <n v="31481"/>
    <n v="1049.3666666666666"/>
    <n v="1472"/>
    <n v="1664"/>
    <n v="34577"/>
    <n v="31481"/>
    <m/>
    <m/>
    <m/>
    <m/>
    <m/>
    <m/>
    <m/>
    <m/>
    <n v="0"/>
    <n v="0"/>
    <n v="0"/>
    <n v="0"/>
    <m/>
    <m/>
    <n v="0"/>
    <n v="0"/>
    <m/>
    <m/>
    <m/>
    <m/>
    <m/>
    <m/>
    <m/>
    <m/>
    <n v="0"/>
    <n v="0"/>
    <n v="0"/>
    <n v="0"/>
    <n v="1152.5666666666666"/>
    <n v="1049.3666666666666"/>
  </r>
  <r>
    <x v="1"/>
    <s v="University of Arkansas Community College at Morrilton"/>
    <m/>
    <n v="107585"/>
    <x v="8"/>
    <s v="sem"/>
    <s v="sem"/>
    <m/>
    <m/>
    <n v="25700"/>
    <n v="26522"/>
    <n v="4366"/>
    <n v="4261"/>
    <n v="28590"/>
    <n v="27158"/>
    <n v="58656"/>
    <n v="1955.2"/>
    <n v="57941"/>
    <n v="1931.3666666666666"/>
    <n v="536"/>
    <n v="545"/>
    <n v="58656"/>
    <n v="57941"/>
    <m/>
    <m/>
    <m/>
    <m/>
    <m/>
    <m/>
    <m/>
    <m/>
    <n v="0"/>
    <n v="0"/>
    <n v="0"/>
    <n v="0"/>
    <m/>
    <m/>
    <n v="0"/>
    <n v="0"/>
    <m/>
    <m/>
    <m/>
    <m/>
    <m/>
    <m/>
    <m/>
    <m/>
    <n v="0"/>
    <n v="0"/>
    <n v="0"/>
    <n v="0"/>
    <n v="1955.2"/>
    <n v="1931.3666666666666"/>
  </r>
  <r>
    <x v="2"/>
    <s v="University of Delaware"/>
    <m/>
    <n v="130943"/>
    <x v="0"/>
    <s v="sem"/>
    <s v="sem"/>
    <n v="32952"/>
    <n v="32358"/>
    <n v="226848"/>
    <n v="227549"/>
    <n v="15682"/>
    <n v="14925"/>
    <n v="244063"/>
    <n v="250767"/>
    <n v="519545"/>
    <n v="17318.166666666668"/>
    <n v="525599"/>
    <n v="17519.966666666667"/>
    <n v="1917"/>
    <m/>
    <n v="519545"/>
    <n v="0"/>
    <m/>
    <m/>
    <m/>
    <m/>
    <m/>
    <m/>
    <m/>
    <m/>
    <n v="0"/>
    <n v="0"/>
    <n v="0"/>
    <n v="0"/>
    <m/>
    <m/>
    <n v="0"/>
    <n v="0"/>
    <n v="1714"/>
    <n v="1643"/>
    <n v="22465"/>
    <n v="21789"/>
    <n v="5193"/>
    <n v="5100"/>
    <n v="25153"/>
    <n v="23212"/>
    <n v="54525"/>
    <n v="2271.875"/>
    <n v="51744"/>
    <n v="2156"/>
    <n v="19590.041666666668"/>
    <n v="19675.966666666667"/>
  </r>
  <r>
    <x v="2"/>
    <s v="Delaware State University"/>
    <s v="Met the criteria for Four-Year 3 in 2010-11 and 2011-12."/>
    <n v="130934"/>
    <x v="3"/>
    <s v="sem"/>
    <s v="sem"/>
    <m/>
    <m/>
    <n v="44478"/>
    <n v="43388"/>
    <n v="5238"/>
    <n v="4723"/>
    <n v="49868"/>
    <n v="55120"/>
    <n v="99584"/>
    <n v="3319.4666666666667"/>
    <n v="103231"/>
    <n v="3441.0333333333333"/>
    <n v="180"/>
    <m/>
    <n v="99584"/>
    <n v="0"/>
    <m/>
    <m/>
    <m/>
    <m/>
    <m/>
    <m/>
    <m/>
    <m/>
    <n v="0"/>
    <n v="0"/>
    <n v="0"/>
    <n v="0"/>
    <m/>
    <m/>
    <n v="0"/>
    <n v="0"/>
    <m/>
    <m/>
    <n v="2793"/>
    <n v="3701"/>
    <n v="856"/>
    <n v="1178"/>
    <n v="3278"/>
    <n v="3236"/>
    <n v="6927"/>
    <n v="288.625"/>
    <n v="8115"/>
    <n v="338.125"/>
    <n v="3608.0916666666667"/>
    <n v="3779.1583333333333"/>
  </r>
  <r>
    <x v="2"/>
    <s v="Delaware Technical and Community College--Stanton-Wilmington"/>
    <s v="Reclassified: Met the criteria for Two-Year 1 in 2009-10, 2010-11 and 2011-12."/>
    <n v="130916"/>
    <x v="6"/>
    <s v="sem"/>
    <s v="sem"/>
    <m/>
    <m/>
    <n v="69335"/>
    <n v="67910"/>
    <n v="18915"/>
    <n v="18232"/>
    <n v="74440"/>
    <n v="71610"/>
    <n v="162690"/>
    <n v="5423"/>
    <n v="157752"/>
    <n v="5258.4"/>
    <n v="547"/>
    <m/>
    <n v="162690"/>
    <n v="0"/>
    <m/>
    <m/>
    <m/>
    <m/>
    <m/>
    <m/>
    <m/>
    <m/>
    <n v="0"/>
    <n v="0"/>
    <n v="0"/>
    <n v="0"/>
    <m/>
    <m/>
    <n v="0"/>
    <n v="0"/>
    <m/>
    <m/>
    <m/>
    <m/>
    <m/>
    <m/>
    <m/>
    <m/>
    <n v="0"/>
    <n v="0"/>
    <n v="0"/>
    <n v="0"/>
    <n v="5423"/>
    <n v="5258.4"/>
  </r>
  <r>
    <x v="2"/>
    <s v="Delaware Technical and Community College--Owens"/>
    <m/>
    <n v="130891"/>
    <x v="7"/>
    <s v="sem"/>
    <s v="sem"/>
    <m/>
    <m/>
    <n v="45810"/>
    <n v="46550"/>
    <n v="8853"/>
    <n v="8819"/>
    <n v="51801"/>
    <n v="48806"/>
    <n v="106464"/>
    <n v="3548.8"/>
    <n v="104175"/>
    <n v="3472.5"/>
    <n v="230"/>
    <m/>
    <n v="106464"/>
    <n v="0"/>
    <m/>
    <m/>
    <m/>
    <m/>
    <m/>
    <m/>
    <m/>
    <m/>
    <n v="0"/>
    <n v="0"/>
    <n v="0"/>
    <n v="0"/>
    <m/>
    <m/>
    <n v="0"/>
    <n v="0"/>
    <m/>
    <m/>
    <m/>
    <m/>
    <m/>
    <m/>
    <m/>
    <m/>
    <n v="0"/>
    <n v="0"/>
    <n v="0"/>
    <n v="0"/>
    <n v="3548.8"/>
    <n v="3472.5"/>
  </r>
  <r>
    <x v="2"/>
    <s v="Delaware Technical and Community College--Terry"/>
    <m/>
    <n v="130907"/>
    <x v="7"/>
    <s v="sem"/>
    <s v="sem"/>
    <m/>
    <m/>
    <n v="31963"/>
    <n v="32418"/>
    <n v="8489"/>
    <n v="8310"/>
    <n v="33893"/>
    <n v="33865"/>
    <n v="74345"/>
    <n v="2478.1666666666665"/>
    <n v="74593"/>
    <n v="2486.4333333333334"/>
    <n v="237"/>
    <m/>
    <n v="74345"/>
    <n v="0"/>
    <m/>
    <m/>
    <m/>
    <m/>
    <m/>
    <m/>
    <m/>
    <m/>
    <n v="0"/>
    <n v="0"/>
    <n v="0"/>
    <n v="0"/>
    <m/>
    <m/>
    <n v="0"/>
    <n v="0"/>
    <m/>
    <m/>
    <m/>
    <m/>
    <m/>
    <m/>
    <m/>
    <m/>
    <n v="0"/>
    <n v="0"/>
    <n v="0"/>
    <n v="0"/>
    <n v="2478.1666666666665"/>
    <n v="2486.4333333333334"/>
  </r>
  <r>
    <x v="3"/>
    <s v="Florida International University"/>
    <m/>
    <n v="133951"/>
    <x v="0"/>
    <s v="sem"/>
    <s v="sem"/>
    <m/>
    <m/>
    <n v="345363"/>
    <n v="374465"/>
    <n v="168755"/>
    <n v="191233"/>
    <n v="383147"/>
    <n v="414320"/>
    <n v="897265"/>
    <n v="29908.833333333332"/>
    <n v="980018"/>
    <n v="32667.266666666666"/>
    <n v="17394"/>
    <n v="25737"/>
    <n v="897265"/>
    <n v="980018"/>
    <m/>
    <m/>
    <m/>
    <m/>
    <m/>
    <m/>
    <m/>
    <m/>
    <n v="0"/>
    <n v="0"/>
    <n v="0"/>
    <n v="0"/>
    <m/>
    <m/>
    <n v="0"/>
    <n v="0"/>
    <m/>
    <m/>
    <n v="66356"/>
    <n v="72710"/>
    <n v="38019"/>
    <n v="39887"/>
    <n v="70047"/>
    <n v="75630"/>
    <n v="174422"/>
    <n v="7267.583333333333"/>
    <n v="188227"/>
    <n v="7842.791666666667"/>
    <n v="37176.416666666664"/>
    <n v="40510.058333333334"/>
  </r>
  <r>
    <x v="3"/>
    <s v="Florida State University "/>
    <m/>
    <n v="134097"/>
    <x v="0"/>
    <s v="sem"/>
    <s v="sem"/>
    <m/>
    <m/>
    <n v="390453"/>
    <n v="399536"/>
    <n v="126830"/>
    <n v="130933"/>
    <n v="455014"/>
    <n v="477741"/>
    <n v="972297"/>
    <n v="32409.9"/>
    <n v="1008210"/>
    <n v="33607"/>
    <n v="796"/>
    <n v="467"/>
    <n v="972297"/>
    <n v="1008210"/>
    <m/>
    <m/>
    <m/>
    <m/>
    <m/>
    <m/>
    <m/>
    <m/>
    <n v="0"/>
    <n v="0"/>
    <n v="0"/>
    <n v="0"/>
    <m/>
    <m/>
    <n v="0"/>
    <n v="0"/>
    <m/>
    <m/>
    <n v="69955"/>
    <n v="70882"/>
    <n v="40174"/>
    <n v="39693"/>
    <n v="74007"/>
    <n v="74859"/>
    <n v="184136"/>
    <n v="7672.333333333333"/>
    <n v="185434"/>
    <n v="7726.416666666667"/>
    <n v="40082.233333333337"/>
    <n v="41333.416666666664"/>
  </r>
  <r>
    <x v="3"/>
    <s v="University of Central Florida "/>
    <m/>
    <n v="132903"/>
    <x v="0"/>
    <s v="sem"/>
    <s v="sem"/>
    <m/>
    <m/>
    <n v="526055"/>
    <n v="550424"/>
    <n v="189272"/>
    <n v="203060"/>
    <n v="566470"/>
    <n v="589882"/>
    <n v="1281797"/>
    <n v="42726.566666666666"/>
    <n v="1343366"/>
    <n v="44778.866666666669"/>
    <n v="453"/>
    <n v="684"/>
    <n v="1281797"/>
    <n v="1343366"/>
    <m/>
    <m/>
    <m/>
    <m/>
    <m/>
    <m/>
    <m/>
    <m/>
    <n v="0"/>
    <n v="0"/>
    <n v="0"/>
    <n v="0"/>
    <m/>
    <m/>
    <n v="0"/>
    <n v="0"/>
    <m/>
    <m/>
    <n v="53571"/>
    <n v="56071"/>
    <n v="28816"/>
    <n v="29048"/>
    <n v="58063"/>
    <n v="57339"/>
    <n v="140450"/>
    <n v="5852.083333333333"/>
    <n v="142458"/>
    <n v="5935.75"/>
    <n v="48578.65"/>
    <n v="50714.616666666669"/>
  </r>
  <r>
    <x v="3"/>
    <s v="University of Florida"/>
    <m/>
    <n v="134130"/>
    <x v="0"/>
    <s v="sem"/>
    <s v="sem"/>
    <m/>
    <m/>
    <n v="424799"/>
    <n v="420487"/>
    <n v="120231"/>
    <n v="117007"/>
    <n v="438525"/>
    <n v="436376"/>
    <n v="983555"/>
    <n v="32785.166666666664"/>
    <n v="973870"/>
    <n v="32462.333333333332"/>
    <n v="1093"/>
    <n v="1306"/>
    <n v="983555"/>
    <n v="973870"/>
    <m/>
    <m/>
    <m/>
    <m/>
    <m/>
    <m/>
    <m/>
    <m/>
    <n v="0"/>
    <n v="0"/>
    <n v="0"/>
    <n v="0"/>
    <m/>
    <m/>
    <n v="0"/>
    <n v="0"/>
    <m/>
    <m/>
    <n v="142301"/>
    <n v="143499"/>
    <n v="62388"/>
    <n v="60534"/>
    <n v="152781"/>
    <n v="149877"/>
    <n v="357470"/>
    <n v="14894.583333333334"/>
    <n v="353910"/>
    <n v="14746.25"/>
    <n v="47679.75"/>
    <n v="47208.583333333328"/>
  </r>
  <r>
    <x v="3"/>
    <s v="University of South Florida "/>
    <m/>
    <n v="137351"/>
    <x v="0"/>
    <s v="sem"/>
    <s v="sem"/>
    <m/>
    <m/>
    <n v="407800"/>
    <n v="416310"/>
    <n v="159800"/>
    <n v="157950"/>
    <n v="444053"/>
    <n v="443707"/>
    <n v="1011653"/>
    <n v="33721.76666666667"/>
    <n v="1017967"/>
    <n v="33932.23333333333"/>
    <n v="814"/>
    <n v="657"/>
    <n v="1011653"/>
    <n v="1017967"/>
    <m/>
    <m/>
    <m/>
    <m/>
    <m/>
    <m/>
    <m/>
    <m/>
    <n v="0"/>
    <n v="0"/>
    <n v="0"/>
    <n v="0"/>
    <m/>
    <m/>
    <n v="0"/>
    <n v="0"/>
    <m/>
    <m/>
    <n v="73647"/>
    <n v="71983"/>
    <n v="38827"/>
    <n v="37175"/>
    <n v="76390"/>
    <n v="76736"/>
    <n v="188864"/>
    <n v="7869.333333333333"/>
    <n v="185894"/>
    <n v="7745.583333333333"/>
    <n v="41591.100000000006"/>
    <n v="41677.816666666666"/>
  </r>
  <r>
    <x v="3"/>
    <s v="Florida Atlantic University "/>
    <m/>
    <n v="133669"/>
    <x v="1"/>
    <s v="sem"/>
    <s v="sem"/>
    <m/>
    <m/>
    <n v="228080"/>
    <n v="236722"/>
    <n v="90787"/>
    <n v="96196"/>
    <n v="251368"/>
    <n v="266759"/>
    <n v="570235"/>
    <n v="19007.833333333332"/>
    <n v="599677"/>
    <n v="19989.233333333334"/>
    <n v="5294"/>
    <n v="6185"/>
    <n v="570235"/>
    <n v="599677"/>
    <m/>
    <m/>
    <m/>
    <m/>
    <m/>
    <m/>
    <m/>
    <m/>
    <n v="0"/>
    <n v="0"/>
    <n v="0"/>
    <n v="0"/>
    <m/>
    <m/>
    <n v="0"/>
    <n v="0"/>
    <m/>
    <m/>
    <n v="30735"/>
    <n v="30766"/>
    <n v="18750"/>
    <n v="17396"/>
    <n v="31334"/>
    <n v="30396"/>
    <n v="80819"/>
    <n v="3367.4583333333335"/>
    <n v="78558"/>
    <n v="3273.25"/>
    <n v="22375.291666666664"/>
    <n v="23262.483333333334"/>
  </r>
  <r>
    <x v="3"/>
    <s v="Florida Agricultural &amp; Mechanical University "/>
    <s v="Met the criteria for Four-Year 2 in 2011-12."/>
    <n v="133650"/>
    <x v="2"/>
    <s v="sem"/>
    <s v="sem"/>
    <m/>
    <m/>
    <n v="130521"/>
    <n v="143196"/>
    <n v="40916"/>
    <n v="29446"/>
    <n v="154324"/>
    <n v="151544"/>
    <n v="325761"/>
    <n v="10858.7"/>
    <n v="324186"/>
    <n v="10806.2"/>
    <n v="262"/>
    <n v="139"/>
    <n v="325761"/>
    <n v="324186"/>
    <m/>
    <m/>
    <m/>
    <m/>
    <m/>
    <m/>
    <m/>
    <m/>
    <n v="0"/>
    <n v="0"/>
    <n v="0"/>
    <n v="0"/>
    <m/>
    <m/>
    <n v="0"/>
    <n v="0"/>
    <m/>
    <m/>
    <n v="20971"/>
    <n v="20888"/>
    <n v="7198"/>
    <n v="6725"/>
    <n v="21574"/>
    <n v="22547"/>
    <n v="49743"/>
    <n v="2072.625"/>
    <n v="50160"/>
    <n v="2090"/>
    <n v="12931.325000000001"/>
    <n v="12896.2"/>
  </r>
  <r>
    <x v="3"/>
    <s v="University of North Florida"/>
    <m/>
    <n v="136172"/>
    <x v="2"/>
    <s v="sem"/>
    <s v="sem"/>
    <m/>
    <m/>
    <n v="155633"/>
    <n v="156495"/>
    <n v="56640"/>
    <n v="57248"/>
    <n v="167587"/>
    <n v="168733"/>
    <n v="379860"/>
    <n v="12662"/>
    <n v="382476"/>
    <n v="12749.2"/>
    <n v="440"/>
    <n v="825"/>
    <n v="379860"/>
    <n v="382476"/>
    <m/>
    <m/>
    <m/>
    <m/>
    <m/>
    <m/>
    <m/>
    <m/>
    <n v="0"/>
    <n v="0"/>
    <n v="0"/>
    <n v="0"/>
    <m/>
    <m/>
    <n v="0"/>
    <n v="0"/>
    <m/>
    <m/>
    <n v="12437"/>
    <n v="12422"/>
    <n v="7053"/>
    <n v="6947"/>
    <n v="13525"/>
    <n v="13175"/>
    <n v="33015"/>
    <n v="1375.625"/>
    <n v="32544"/>
    <n v="1356"/>
    <n v="14037.625"/>
    <n v="14105.2"/>
  </r>
  <r>
    <x v="3"/>
    <s v="University of West Florida"/>
    <m/>
    <n v="138354"/>
    <x v="2"/>
    <s v="sem"/>
    <s v="sem"/>
    <m/>
    <m/>
    <n v="99923"/>
    <n v="103175"/>
    <n v="39168"/>
    <n v="40268"/>
    <n v="108851"/>
    <n v="112277"/>
    <n v="247942"/>
    <n v="8264.7333333333336"/>
    <n v="255720"/>
    <n v="8524"/>
    <n v="505"/>
    <n v="585"/>
    <n v="247942"/>
    <n v="255720"/>
    <m/>
    <m/>
    <m/>
    <m/>
    <m/>
    <m/>
    <m/>
    <m/>
    <n v="0"/>
    <n v="0"/>
    <n v="0"/>
    <n v="0"/>
    <m/>
    <m/>
    <n v="0"/>
    <n v="0"/>
    <m/>
    <m/>
    <n v="10719"/>
    <n v="11396"/>
    <n v="8789"/>
    <n v="8434"/>
    <n v="11976"/>
    <n v="12054"/>
    <n v="31484"/>
    <n v="1311.8333333333333"/>
    <n v="31884"/>
    <n v="1328.5"/>
    <n v="9576.5666666666675"/>
    <n v="9852.5"/>
  </r>
  <r>
    <x v="3"/>
    <s v="Florida Gulf Coast University"/>
    <m/>
    <n v="433660"/>
    <x v="3"/>
    <s v="sem"/>
    <s v="sem"/>
    <m/>
    <m/>
    <n v="111465"/>
    <n v="119973"/>
    <n v="27917"/>
    <n v="30408"/>
    <n v="129441"/>
    <n v="138182"/>
    <n v="268823"/>
    <n v="8960.7666666666664"/>
    <n v="288563"/>
    <n v="9618.7666666666664"/>
    <n v="2161"/>
    <n v="2373"/>
    <n v="268823"/>
    <n v="288563"/>
    <m/>
    <m/>
    <m/>
    <m/>
    <m/>
    <m/>
    <m/>
    <m/>
    <n v="0"/>
    <n v="0"/>
    <n v="0"/>
    <n v="0"/>
    <m/>
    <m/>
    <n v="0"/>
    <n v="0"/>
    <m/>
    <m/>
    <n v="9057"/>
    <n v="9588"/>
    <n v="5328"/>
    <n v="4999"/>
    <n v="9693"/>
    <n v="9376"/>
    <n v="24078"/>
    <n v="1003.25"/>
    <n v="23963"/>
    <n v="998.45833333333337"/>
    <n v="9964.0166666666664"/>
    <n v="10617.225"/>
  </r>
  <r>
    <x v="3"/>
    <s v="New College of Florida"/>
    <m/>
    <n v="262129"/>
    <x v="5"/>
    <s v="sem"/>
    <s v="sem"/>
    <m/>
    <m/>
    <n v="12324"/>
    <n v="12144"/>
    <m/>
    <m/>
    <n v="15356"/>
    <n v="16064"/>
    <n v="27680"/>
    <n v="922.66666666666663"/>
    <n v="28208"/>
    <n v="940.26666666666665"/>
    <n v="32"/>
    <m/>
    <n v="27680"/>
    <n v="0"/>
    <m/>
    <m/>
    <m/>
    <m/>
    <m/>
    <m/>
    <m/>
    <m/>
    <n v="0"/>
    <n v="0"/>
    <n v="0"/>
    <n v="0"/>
    <m/>
    <m/>
    <n v="0"/>
    <n v="0"/>
    <m/>
    <m/>
    <m/>
    <m/>
    <m/>
    <m/>
    <m/>
    <m/>
    <n v="0"/>
    <n v="0"/>
    <n v="0"/>
    <n v="0"/>
    <n v="922.66666666666663"/>
    <n v="940.26666666666665"/>
  </r>
  <r>
    <x v="3"/>
    <s v="Chipola College "/>
    <m/>
    <n v="133021"/>
    <x v="11"/>
    <s v="sem"/>
    <s v="sem"/>
    <m/>
    <m/>
    <n v="19621"/>
    <n v="19257"/>
    <n v="5774"/>
    <n v="5980"/>
    <n v="20823"/>
    <n v="20842"/>
    <n v="46218"/>
    <n v="1540.6"/>
    <n v="46079"/>
    <n v="1535.9666666666667"/>
    <n v="4314"/>
    <n v="4503"/>
    <n v="46218"/>
    <n v="46079"/>
    <m/>
    <m/>
    <n v="76667"/>
    <n v="49087"/>
    <n v="26187"/>
    <n v="16451"/>
    <n v="50006"/>
    <n v="46361"/>
    <n v="152860"/>
    <n v="169.84444444444443"/>
    <n v="111899"/>
    <n v="124.33222222222223"/>
    <n v="5098"/>
    <n v="2730"/>
    <n v="152860"/>
    <n v="111899"/>
    <m/>
    <m/>
    <m/>
    <m/>
    <m/>
    <m/>
    <m/>
    <m/>
    <n v="0"/>
    <n v="0"/>
    <n v="0"/>
    <n v="0"/>
    <n v="1710.4444444444443"/>
    <n v="1660.298888888889"/>
  </r>
  <r>
    <x v="3"/>
    <s v="Daytona State College "/>
    <m/>
    <n v="133386"/>
    <x v="11"/>
    <s v="sem"/>
    <s v="sem"/>
    <m/>
    <m/>
    <n v="163866"/>
    <n v="168080"/>
    <n v="57758"/>
    <n v="52875"/>
    <n v="182223"/>
    <n v="156632"/>
    <n v="403847"/>
    <n v="13461.566666666668"/>
    <n v="377587"/>
    <n v="12586.233333333334"/>
    <n v="24460"/>
    <n v="24883"/>
    <n v="403847"/>
    <n v="377587"/>
    <m/>
    <m/>
    <n v="1252029"/>
    <n v="1139373"/>
    <n v="701074"/>
    <n v="646883"/>
    <n v="1149397"/>
    <n v="859415"/>
    <n v="3102500"/>
    <n v="3447.2222222222222"/>
    <n v="2645671"/>
    <n v="2939.6344444444444"/>
    <n v="21245"/>
    <n v="5580"/>
    <n v="3102500"/>
    <n v="2645671"/>
    <m/>
    <m/>
    <m/>
    <m/>
    <m/>
    <m/>
    <m/>
    <m/>
    <n v="0"/>
    <n v="0"/>
    <n v="0"/>
    <n v="0"/>
    <n v="16908.788888888888"/>
    <n v="15525.867777777778"/>
  </r>
  <r>
    <x v="3"/>
    <s v="Edison State College "/>
    <m/>
    <n v="133508"/>
    <x v="11"/>
    <s v="sem"/>
    <s v="sem"/>
    <m/>
    <m/>
    <n v="144276"/>
    <n v="150475"/>
    <n v="63562"/>
    <n v="63150"/>
    <n v="153089"/>
    <n v="151732"/>
    <n v="360927"/>
    <n v="12030.9"/>
    <n v="365357"/>
    <n v="12178.566666666668"/>
    <n v="24635"/>
    <n v="26397"/>
    <n v="360927"/>
    <n v="365357"/>
    <m/>
    <m/>
    <n v="16350"/>
    <n v="7020"/>
    <n v="6960"/>
    <n v="11760"/>
    <n v="0"/>
    <n v="4800"/>
    <n v="23310"/>
    <n v="25.9"/>
    <n v="23580"/>
    <n v="26.2"/>
    <n v="0"/>
    <n v="0"/>
    <n v="23310"/>
    <n v="23580"/>
    <m/>
    <m/>
    <m/>
    <m/>
    <m/>
    <m/>
    <m/>
    <m/>
    <n v="0"/>
    <n v="0"/>
    <n v="0"/>
    <n v="0"/>
    <n v="12056.8"/>
    <n v="12204.766666666668"/>
  </r>
  <r>
    <x v="3"/>
    <s v="Florida State College at Jacksonville"/>
    <s v="Reclassified: met the criteria for Two-Year with Bachelor's in 2009-10, 2010-11 and 2011-12."/>
    <n v="133702"/>
    <x v="11"/>
    <s v="sem"/>
    <s v="sem"/>
    <m/>
    <m/>
    <n v="255491"/>
    <n v="265115"/>
    <n v="149257"/>
    <n v="144070"/>
    <n v="263458"/>
    <n v="273768"/>
    <n v="668206"/>
    <n v="22273.533333333333"/>
    <n v="682953"/>
    <n v="22765.1"/>
    <n v="27452"/>
    <n v="31742"/>
    <n v="668206"/>
    <n v="682953"/>
    <m/>
    <m/>
    <n v="3098988"/>
    <n v="990157"/>
    <n v="795151"/>
    <n v="770279"/>
    <n v="980775"/>
    <n v="838246"/>
    <n v="4874914"/>
    <n v="5416.5711111111113"/>
    <n v="2598682"/>
    <n v="2887.4244444444444"/>
    <n v="47225"/>
    <n v="39231"/>
    <n v="4874914"/>
    <n v="2598682"/>
    <m/>
    <m/>
    <m/>
    <m/>
    <m/>
    <m/>
    <m/>
    <m/>
    <n v="0"/>
    <n v="0"/>
    <n v="0"/>
    <n v="0"/>
    <n v="27690.104444444445"/>
    <n v="25652.524444444443"/>
  </r>
  <r>
    <x v="3"/>
    <s v="Indian River State College "/>
    <s v="Reclassified: met the criteria for Two-Year with Bachelor's in 2009-10, 2010-11 and 2011-12."/>
    <n v="134608"/>
    <x v="11"/>
    <s v="sem"/>
    <s v="sem"/>
    <m/>
    <m/>
    <n v="129173"/>
    <n v="133258"/>
    <n v="67980"/>
    <n v="67639"/>
    <n v="137951"/>
    <n v="140421"/>
    <n v="335104"/>
    <n v="11170.133333333333"/>
    <n v="341318"/>
    <n v="11377.266666666666"/>
    <n v="26357"/>
    <n v="31606"/>
    <n v="335104"/>
    <n v="341318"/>
    <m/>
    <m/>
    <n v="1029419"/>
    <n v="933053"/>
    <n v="688420"/>
    <n v="650630"/>
    <n v="966552"/>
    <n v="770013"/>
    <n v="2684391"/>
    <n v="2982.6566666666668"/>
    <n v="2353696"/>
    <n v="2615.2177777777779"/>
    <n v="36540"/>
    <n v="35757"/>
    <n v="2684391"/>
    <n v="2353696"/>
    <m/>
    <m/>
    <m/>
    <m/>
    <m/>
    <m/>
    <m/>
    <m/>
    <n v="0"/>
    <n v="0"/>
    <n v="0"/>
    <n v="0"/>
    <n v="14152.79"/>
    <n v="13992.484444444444"/>
  </r>
  <r>
    <x v="3"/>
    <s v="Miami Dade College "/>
    <m/>
    <n v="135717"/>
    <x v="11"/>
    <s v="sem"/>
    <s v="sem"/>
    <m/>
    <m/>
    <n v="594379"/>
    <n v="639453"/>
    <n v="327880"/>
    <n v="344344"/>
    <n v="649476"/>
    <n v="670327"/>
    <n v="1571735"/>
    <n v="52391.166666666664"/>
    <n v="1654124"/>
    <n v="55137.466666666667"/>
    <n v="23656"/>
    <n v="26532"/>
    <n v="1571735"/>
    <n v="1654124"/>
    <m/>
    <m/>
    <n v="2409438"/>
    <n v="1971917"/>
    <n v="1708241"/>
    <n v="1484804"/>
    <n v="1635756"/>
    <n v="1100943"/>
    <n v="5753435"/>
    <n v="6392.7055555555553"/>
    <n v="4557664"/>
    <n v="5064.0711111111113"/>
    <n v="0"/>
    <n v="0"/>
    <n v="5753435"/>
    <n v="4557664"/>
    <m/>
    <m/>
    <m/>
    <m/>
    <m/>
    <m/>
    <m/>
    <m/>
    <n v="0"/>
    <n v="0"/>
    <n v="0"/>
    <n v="0"/>
    <n v="58783.87222222222"/>
    <n v="60201.537777777776"/>
  </r>
  <r>
    <x v="3"/>
    <s v="Northwest Florida State College"/>
    <m/>
    <n v="136233"/>
    <x v="11"/>
    <s v="sem"/>
    <s v="sem"/>
    <m/>
    <m/>
    <n v="66837"/>
    <n v="67037"/>
    <n v="30825"/>
    <n v="29849"/>
    <n v="69793"/>
    <n v="65510"/>
    <n v="167455"/>
    <n v="5581.833333333333"/>
    <n v="162396"/>
    <n v="5413.2"/>
    <n v="8259"/>
    <n v="8400"/>
    <n v="167455"/>
    <n v="162396"/>
    <m/>
    <m/>
    <n v="138089"/>
    <n v="108168"/>
    <n v="72077"/>
    <n v="63392"/>
    <n v="112161"/>
    <n v="98506"/>
    <n v="322327"/>
    <n v="358.14111111111112"/>
    <n v="270066"/>
    <n v="300.07333333333332"/>
    <n v="0"/>
    <n v="0"/>
    <n v="322327"/>
    <n v="270066"/>
    <m/>
    <m/>
    <m/>
    <m/>
    <m/>
    <m/>
    <m/>
    <m/>
    <n v="0"/>
    <n v="0"/>
    <n v="0"/>
    <n v="0"/>
    <n v="5939.9744444444441"/>
    <n v="5713.2733333333335"/>
  </r>
  <r>
    <x v="3"/>
    <s v="St. Petersburg College "/>
    <m/>
    <n v="137078"/>
    <x v="11"/>
    <s v="sem"/>
    <s v="sem"/>
    <m/>
    <m/>
    <n v="261163"/>
    <n v="279908"/>
    <n v="105545"/>
    <n v="108608"/>
    <n v="283199"/>
    <n v="291178"/>
    <n v="649907"/>
    <n v="21663.566666666666"/>
    <n v="679694"/>
    <n v="22656.466666666667"/>
    <n v="28756"/>
    <n v="33428"/>
    <n v="649907"/>
    <n v="679694"/>
    <m/>
    <m/>
    <n v="186842"/>
    <n v="59075"/>
    <n v="33009"/>
    <n v="25397"/>
    <n v="37812"/>
    <n v="60834"/>
    <n v="257663"/>
    <n v="286.29222222222222"/>
    <n v="145306"/>
    <n v="161.45111111111112"/>
    <n v="0"/>
    <n v="0"/>
    <n v="257663"/>
    <n v="145306"/>
    <m/>
    <m/>
    <m/>
    <m/>
    <m/>
    <m/>
    <m/>
    <m/>
    <n v="0"/>
    <n v="0"/>
    <n v="0"/>
    <n v="0"/>
    <n v="21949.858888888888"/>
    <n v="22817.917777777777"/>
  </r>
  <r>
    <x v="3"/>
    <s v="Brevard Community College "/>
    <m/>
    <n v="132693"/>
    <x v="6"/>
    <s v="sem"/>
    <s v="sem"/>
    <m/>
    <m/>
    <n v="150968"/>
    <n v="155633"/>
    <n v="54355"/>
    <n v="57150"/>
    <n v="155306"/>
    <n v="160161"/>
    <n v="360629"/>
    <n v="12020.966666666667"/>
    <n v="372944"/>
    <n v="12431.466666666667"/>
    <n v="47421"/>
    <n v="50287"/>
    <n v="360629"/>
    <n v="372944"/>
    <m/>
    <m/>
    <n v="652963"/>
    <n v="705107"/>
    <n v="116120"/>
    <n v="121528"/>
    <n v="436879"/>
    <n v="492401"/>
    <n v="1205962"/>
    <n v="1339.9577777777777"/>
    <n v="1319036"/>
    <n v="1465.5955555555556"/>
    <n v="78773"/>
    <n v="91770"/>
    <n v="1205962"/>
    <n v="1319036"/>
    <m/>
    <m/>
    <m/>
    <m/>
    <m/>
    <m/>
    <m/>
    <m/>
    <n v="0"/>
    <n v="0"/>
    <n v="0"/>
    <n v="0"/>
    <n v="13360.924444444445"/>
    <n v="13897.062222222223"/>
  </r>
  <r>
    <x v="3"/>
    <s v="Broward College "/>
    <s v="Met the criteria for Two-Year with Bachelor's in 2011-12."/>
    <n v="132709"/>
    <x v="6"/>
    <s v="sem"/>
    <s v="sem"/>
    <m/>
    <m/>
    <n v="335337"/>
    <n v="364923"/>
    <n v="176146"/>
    <n v="187684"/>
    <n v="359070"/>
    <n v="369074"/>
    <n v="870553"/>
    <n v="29018.433333333334"/>
    <n v="921681"/>
    <n v="30722.7"/>
    <n v="35215"/>
    <n v="40449"/>
    <n v="870553"/>
    <n v="921681"/>
    <m/>
    <m/>
    <n v="217272"/>
    <n v="147620"/>
    <n v="102783"/>
    <n v="109605"/>
    <n v="148891"/>
    <n v="164154"/>
    <n v="468946"/>
    <n v="521.05111111111114"/>
    <n v="421379"/>
    <n v="468.19888888888892"/>
    <n v="0"/>
    <n v="0"/>
    <n v="468946"/>
    <n v="421379"/>
    <m/>
    <m/>
    <m/>
    <m/>
    <m/>
    <m/>
    <m/>
    <m/>
    <n v="0"/>
    <n v="0"/>
    <n v="0"/>
    <n v="0"/>
    <n v="29539.484444444446"/>
    <n v="31190.898888888889"/>
  </r>
  <r>
    <x v="3"/>
    <s v="College of Central Florida"/>
    <m/>
    <n v="132851"/>
    <x v="6"/>
    <s v="sem"/>
    <s v="sem"/>
    <m/>
    <m/>
    <n v="73568"/>
    <n v="76838"/>
    <n v="27459"/>
    <n v="28700"/>
    <n v="78040"/>
    <n v="78593"/>
    <n v="179067"/>
    <n v="5968.9"/>
    <n v="184131"/>
    <n v="6137.7"/>
    <n v="9998"/>
    <n v="11671"/>
    <n v="179067"/>
    <n v="184131"/>
    <m/>
    <m/>
    <n v="263153"/>
    <n v="190618"/>
    <n v="112056"/>
    <n v="118329"/>
    <n v="172884"/>
    <n v="155787"/>
    <n v="548093"/>
    <n v="608.99222222222227"/>
    <n v="464734"/>
    <n v="516.37111111111108"/>
    <n v="4020"/>
    <n v="1860"/>
    <n v="548093"/>
    <n v="464734"/>
    <m/>
    <m/>
    <m/>
    <m/>
    <m/>
    <m/>
    <m/>
    <m/>
    <n v="0"/>
    <n v="0"/>
    <n v="0"/>
    <n v="0"/>
    <n v="6577.8922222222218"/>
    <n v="6654.0711111111104"/>
  </r>
  <r>
    <x v="3"/>
    <s v="Hillsborough Community College "/>
    <m/>
    <n v="134495"/>
    <x v="6"/>
    <s v="sem"/>
    <s v="sem"/>
    <m/>
    <m/>
    <n v="245028"/>
    <n v="253680"/>
    <n v="92849"/>
    <n v="94010"/>
    <n v="253264"/>
    <n v="256082"/>
    <n v="591141"/>
    <n v="19704.7"/>
    <n v="603772"/>
    <n v="20125.733333333334"/>
    <n v="11779"/>
    <n v="11877"/>
    <n v="591141"/>
    <n v="603772"/>
    <m/>
    <m/>
    <n v="839851"/>
    <n v="610533"/>
    <n v="95842"/>
    <n v="121009"/>
    <n v="666572"/>
    <n v="632269"/>
    <n v="1602265"/>
    <n v="1780.2944444444445"/>
    <n v="1363811"/>
    <n v="1515.3455555555556"/>
    <n v="0"/>
    <n v="0"/>
    <n v="1602265"/>
    <n v="1363811"/>
    <m/>
    <m/>
    <m/>
    <m/>
    <m/>
    <m/>
    <m/>
    <m/>
    <n v="0"/>
    <n v="0"/>
    <n v="0"/>
    <n v="0"/>
    <n v="21484.994444444445"/>
    <n v="21641.078888888889"/>
  </r>
  <r>
    <x v="3"/>
    <s v="Palm Beach State College "/>
    <s v="Met the criteria for Two-Year with Bachelor's in 2011-12."/>
    <n v="136358"/>
    <x v="6"/>
    <s v="sem"/>
    <s v="sem"/>
    <m/>
    <m/>
    <n v="224696"/>
    <n v="236663"/>
    <n v="94857"/>
    <n v="103022"/>
    <n v="247234"/>
    <n v="252774"/>
    <n v="566787"/>
    <n v="18892.900000000001"/>
    <n v="592459"/>
    <n v="19748.633333333335"/>
    <n v="21439"/>
    <n v="25471"/>
    <n v="566787"/>
    <n v="592459"/>
    <m/>
    <m/>
    <n v="778814"/>
    <n v="554691"/>
    <n v="375900"/>
    <n v="311300"/>
    <n v="542207"/>
    <n v="458036"/>
    <n v="1696921"/>
    <n v="1885.4677777777779"/>
    <n v="1324027"/>
    <n v="1471.1411111111111"/>
    <n v="6496"/>
    <n v="15000"/>
    <n v="1696921"/>
    <n v="1324027"/>
    <m/>
    <m/>
    <m/>
    <m/>
    <m/>
    <m/>
    <m/>
    <m/>
    <n v="0"/>
    <n v="0"/>
    <n v="0"/>
    <n v="0"/>
    <n v="20778.367777777778"/>
    <n v="21219.774444444447"/>
  </r>
  <r>
    <x v="3"/>
    <s v="Pasco-Hernando Community College "/>
    <m/>
    <n v="136400"/>
    <x v="6"/>
    <s v="sem"/>
    <s v="sem"/>
    <m/>
    <m/>
    <n v="87088"/>
    <n v="93566"/>
    <n v="29355"/>
    <n v="30868"/>
    <n v="94569"/>
    <n v="98347"/>
    <n v="211012"/>
    <n v="7033.7333333333336"/>
    <n v="222781"/>
    <n v="7426.0333333333338"/>
    <n v="19177"/>
    <n v="24342"/>
    <n v="211012"/>
    <n v="222781"/>
    <m/>
    <m/>
    <n v="211628"/>
    <n v="206440"/>
    <n v="104665"/>
    <n v="82670"/>
    <n v="194843"/>
    <n v="170272"/>
    <n v="511136"/>
    <n v="567.92888888888888"/>
    <n v="459382"/>
    <n v="510.42444444444442"/>
    <n v="3280"/>
    <n v="480"/>
    <n v="511136"/>
    <n v="459382"/>
    <m/>
    <m/>
    <m/>
    <m/>
    <m/>
    <m/>
    <m/>
    <m/>
    <n v="0"/>
    <n v="0"/>
    <n v="0"/>
    <n v="0"/>
    <n v="7601.6622222222222"/>
    <n v="7936.4577777777786"/>
  </r>
  <r>
    <x v="3"/>
    <s v="Pensacola State College "/>
    <m/>
    <n v="136473"/>
    <x v="6"/>
    <s v="sem"/>
    <s v="sem"/>
    <m/>
    <m/>
    <n v="101819"/>
    <n v="102411"/>
    <n v="42254"/>
    <n v="42531"/>
    <n v="101019"/>
    <n v="107693"/>
    <n v="245092"/>
    <n v="8169.7333333333336"/>
    <n v="252635"/>
    <n v="8421.1666666666661"/>
    <n v="22827"/>
    <n v="26172"/>
    <n v="245092"/>
    <n v="252635"/>
    <m/>
    <m/>
    <n v="446486"/>
    <n v="387822"/>
    <n v="270188"/>
    <n v="234222"/>
    <n v="406576"/>
    <n v="383605"/>
    <n v="1123250"/>
    <n v="1248.0555555555557"/>
    <n v="1005649"/>
    <n v="1117.3877777777777"/>
    <n v="1170"/>
    <n v="2160"/>
    <n v="1123250"/>
    <n v="1005649"/>
    <m/>
    <m/>
    <m/>
    <m/>
    <m/>
    <m/>
    <m/>
    <m/>
    <n v="0"/>
    <n v="0"/>
    <n v="0"/>
    <n v="0"/>
    <n v="9417.7888888888883"/>
    <n v="9538.554444444444"/>
  </r>
  <r>
    <x v="3"/>
    <s v="Polk State College "/>
    <s v="Met the criteria for Two-Year with Bachelor's in 2011-12."/>
    <n v="136516"/>
    <x v="6"/>
    <s v="sem"/>
    <s v="sem"/>
    <m/>
    <m/>
    <n v="82147"/>
    <n v="87435"/>
    <n v="32214"/>
    <n v="33282"/>
    <n v="92104"/>
    <n v="98313"/>
    <n v="206465"/>
    <n v="6882.166666666667"/>
    <n v="219030"/>
    <n v="7301"/>
    <n v="19500"/>
    <n v="23256"/>
    <n v="206465"/>
    <n v="219030"/>
    <m/>
    <m/>
    <n v="70939"/>
    <n v="40784"/>
    <n v="31396"/>
    <n v="24268"/>
    <n v="23518"/>
    <n v="35946"/>
    <n v="125853"/>
    <n v="139.83666666666667"/>
    <n v="100998"/>
    <n v="112.22"/>
    <n v="0"/>
    <n v="0"/>
    <n v="125853"/>
    <n v="100998"/>
    <m/>
    <m/>
    <m/>
    <m/>
    <m/>
    <m/>
    <m/>
    <m/>
    <n v="0"/>
    <n v="0"/>
    <n v="0"/>
    <n v="0"/>
    <n v="7022.003333333334"/>
    <n v="7413.22"/>
  </r>
  <r>
    <x v="3"/>
    <s v="Santa Fe College "/>
    <m/>
    <n v="137096"/>
    <x v="6"/>
    <s v="sem"/>
    <s v="sem"/>
    <m/>
    <m/>
    <n v="140776"/>
    <n v="145105"/>
    <n v="64511"/>
    <n v="67496"/>
    <n v="153811"/>
    <n v="151359"/>
    <n v="359098"/>
    <n v="11969.933333333332"/>
    <n v="363960"/>
    <n v="12132"/>
    <n v="13087"/>
    <n v="14020"/>
    <n v="359098"/>
    <n v="363960"/>
    <m/>
    <m/>
    <n v="245745"/>
    <n v="214465"/>
    <n v="160748"/>
    <n v="144304"/>
    <n v="223330"/>
    <n v="191013"/>
    <n v="629823"/>
    <n v="699.80333333333328"/>
    <n v="549782"/>
    <n v="610.86888888888893"/>
    <n v="4455"/>
    <n v="525"/>
    <n v="629823"/>
    <n v="549782"/>
    <m/>
    <m/>
    <m/>
    <m/>
    <m/>
    <m/>
    <m/>
    <m/>
    <n v="0"/>
    <n v="0"/>
    <n v="0"/>
    <n v="0"/>
    <n v="12669.736666666666"/>
    <n v="12742.868888888888"/>
  </r>
  <r>
    <x v="3"/>
    <s v="Seminole State College of Florida"/>
    <m/>
    <n v="137209"/>
    <x v="6"/>
    <s v="sem"/>
    <s v="sem"/>
    <m/>
    <m/>
    <n v="155071"/>
    <n v="169869"/>
    <n v="75234"/>
    <n v="75855"/>
    <n v="168582"/>
    <n v="169432"/>
    <n v="398887"/>
    <n v="13296.233333333334"/>
    <n v="415156"/>
    <n v="13838.533333333333"/>
    <n v="5604"/>
    <n v="5883"/>
    <n v="398887"/>
    <n v="415156"/>
    <m/>
    <m/>
    <n v="639496"/>
    <n v="542141"/>
    <n v="412861"/>
    <n v="344890"/>
    <n v="606264"/>
    <n v="496784"/>
    <n v="1658621"/>
    <n v="1842.9122222222222"/>
    <n v="1383815"/>
    <n v="1537.5722222222223"/>
    <n v="5093"/>
    <n v="4680"/>
    <n v="1658621"/>
    <n v="1383815"/>
    <m/>
    <m/>
    <m/>
    <m/>
    <m/>
    <m/>
    <m/>
    <m/>
    <n v="0"/>
    <n v="0"/>
    <n v="0"/>
    <n v="0"/>
    <n v="15139.145555555555"/>
    <n v="15376.105555555556"/>
  </r>
  <r>
    <x v="3"/>
    <s v="State College of Florida, Manatee-Sarasota"/>
    <s v="Met the criteria for Two-Year with Bachelor's in 2011-12."/>
    <n v="135391"/>
    <x v="6"/>
    <s v="sem"/>
    <s v="sem"/>
    <m/>
    <m/>
    <n v="118271"/>
    <n v="109231"/>
    <n v="41904"/>
    <n v="36876"/>
    <n v="116205"/>
    <n v="112326"/>
    <n v="276380"/>
    <n v="9212.6666666666661"/>
    <n v="258433"/>
    <n v="8614.4333333333325"/>
    <n v="16851"/>
    <n v="16709"/>
    <n v="276380"/>
    <n v="258433"/>
    <m/>
    <m/>
    <n v="54196"/>
    <n v="10805"/>
    <n v="6407"/>
    <n v="4708"/>
    <n v="12346"/>
    <n v="0"/>
    <n v="72949"/>
    <n v="81.054444444444442"/>
    <n v="15513"/>
    <n v="17.236666666666668"/>
    <n v="0"/>
    <n v="0"/>
    <n v="72949"/>
    <n v="15513"/>
    <m/>
    <m/>
    <m/>
    <m/>
    <m/>
    <m/>
    <m/>
    <m/>
    <n v="0"/>
    <n v="0"/>
    <n v="0"/>
    <n v="0"/>
    <n v="9293.7211111111101"/>
    <n v="8631.6699999999983"/>
  </r>
  <r>
    <x v="3"/>
    <s v="Tallahassee Community College "/>
    <m/>
    <n v="137759"/>
    <x v="6"/>
    <s v="sem"/>
    <s v="sem"/>
    <m/>
    <m/>
    <n v="134295"/>
    <n v="133652"/>
    <n v="64248"/>
    <n v="70124"/>
    <n v="144277"/>
    <n v="148741"/>
    <n v="342820"/>
    <n v="11427.333333333334"/>
    <n v="352517"/>
    <n v="11750.566666666668"/>
    <n v="7919"/>
    <n v="8663"/>
    <n v="342820"/>
    <n v="352517"/>
    <m/>
    <m/>
    <n v="476932"/>
    <n v="228984"/>
    <n v="83143"/>
    <n v="40015"/>
    <n v="206598"/>
    <n v="142710"/>
    <n v="766673"/>
    <n v="851.85888888888894"/>
    <n v="411709"/>
    <n v="457.45444444444445"/>
    <n v="13672"/>
    <n v="7028"/>
    <n v="766673"/>
    <n v="411709"/>
    <m/>
    <m/>
    <m/>
    <m/>
    <m/>
    <m/>
    <m/>
    <m/>
    <n v="0"/>
    <n v="0"/>
    <n v="0"/>
    <n v="0"/>
    <n v="12279.192222222224"/>
    <n v="12208.021111111111"/>
  </r>
  <r>
    <x v="3"/>
    <s v="Valencia Community College "/>
    <m/>
    <n v="138187"/>
    <x v="6"/>
    <s v="sem"/>
    <s v="sem"/>
    <m/>
    <m/>
    <n v="352629"/>
    <n v="367512"/>
    <n v="182258"/>
    <n v="187193"/>
    <n v="380155"/>
    <n v="388537"/>
    <n v="915042"/>
    <n v="30501.4"/>
    <n v="943242"/>
    <n v="31441.4"/>
    <n v="35157"/>
    <n v="37913"/>
    <n v="915042"/>
    <n v="943242"/>
    <m/>
    <m/>
    <n v="239270"/>
    <n v="96784"/>
    <n v="29906"/>
    <n v="55258"/>
    <n v="66956"/>
    <n v="39296"/>
    <n v="336132"/>
    <n v="373.48"/>
    <n v="191338"/>
    <n v="212.59777777777776"/>
    <n v="0"/>
    <n v="0"/>
    <n v="336132"/>
    <n v="191338"/>
    <m/>
    <m/>
    <m/>
    <m/>
    <m/>
    <m/>
    <m/>
    <m/>
    <n v="0"/>
    <n v="0"/>
    <n v="0"/>
    <n v="0"/>
    <n v="30874.880000000001"/>
    <n v="31653.997777777779"/>
  </r>
  <r>
    <x v="3"/>
    <s v="Gulf Coast Community College "/>
    <m/>
    <n v="134343"/>
    <x v="7"/>
    <s v="sem"/>
    <s v="sem"/>
    <m/>
    <m/>
    <n v="59168"/>
    <n v="57781"/>
    <n v="18435"/>
    <n v="18136"/>
    <n v="61308"/>
    <n v="62384"/>
    <n v="138911"/>
    <n v="4630.3666666666668"/>
    <n v="138301"/>
    <n v="4610.0333333333338"/>
    <n v="15415"/>
    <n v="15203"/>
    <n v="138911"/>
    <n v="138301"/>
    <m/>
    <m/>
    <n v="185496"/>
    <n v="111116"/>
    <n v="86484"/>
    <n v="66384"/>
    <n v="108149"/>
    <n v="74222"/>
    <n v="380129"/>
    <n v="422.36555555555555"/>
    <n v="251722"/>
    <n v="279.69111111111113"/>
    <n v="0"/>
    <n v="0"/>
    <n v="380129"/>
    <n v="251722"/>
    <m/>
    <m/>
    <m/>
    <m/>
    <m/>
    <m/>
    <m/>
    <m/>
    <n v="0"/>
    <n v="0"/>
    <n v="0"/>
    <n v="0"/>
    <n v="5052.7322222222219"/>
    <n v="4889.724444444445"/>
  </r>
  <r>
    <x v="3"/>
    <s v="Lake City Community College "/>
    <m/>
    <n v="135160"/>
    <x v="7"/>
    <s v="sem"/>
    <s v="sem"/>
    <m/>
    <m/>
    <n v="24343"/>
    <n v="23834"/>
    <n v="10408"/>
    <n v="10470"/>
    <n v="24231"/>
    <n v="25526"/>
    <n v="58982"/>
    <n v="1966.0666666666666"/>
    <n v="59830"/>
    <n v="1994.3333333333333"/>
    <n v="8725"/>
    <n v="10042"/>
    <n v="58982"/>
    <n v="59830"/>
    <m/>
    <m/>
    <n v="162428"/>
    <n v="129183"/>
    <n v="77073"/>
    <n v="62678"/>
    <n v="126508"/>
    <n v="121412"/>
    <n v="366009"/>
    <n v="406.67666666666668"/>
    <n v="313273"/>
    <n v="348.08111111111111"/>
    <n v="7810"/>
    <n v="5316"/>
    <n v="366009"/>
    <n v="313273"/>
    <m/>
    <m/>
    <m/>
    <m/>
    <m/>
    <m/>
    <m/>
    <m/>
    <n v="0"/>
    <n v="0"/>
    <n v="0"/>
    <n v="0"/>
    <n v="2372.7433333333333"/>
    <n v="2342.4144444444446"/>
  </r>
  <r>
    <x v="3"/>
    <s v="Lake-Sumter Community College "/>
    <m/>
    <n v="135188"/>
    <x v="7"/>
    <s v="sem"/>
    <s v="sem"/>
    <m/>
    <m/>
    <n v="40208"/>
    <n v="40603"/>
    <n v="14342"/>
    <n v="13943"/>
    <n v="42882"/>
    <n v="42677"/>
    <n v="97432"/>
    <n v="3247.7333333333331"/>
    <n v="97223"/>
    <n v="3240.7666666666669"/>
    <n v="11510"/>
    <n v="13580"/>
    <n v="97432"/>
    <n v="97223"/>
    <m/>
    <m/>
    <n v="30957"/>
    <n v="979"/>
    <n v="236"/>
    <n v="207"/>
    <n v="738"/>
    <n v="654"/>
    <n v="31931"/>
    <n v="35.478888888888889"/>
    <n v="1840"/>
    <n v="2.0444444444444443"/>
    <n v="0"/>
    <n v="0"/>
    <n v="31931"/>
    <n v="1840"/>
    <m/>
    <m/>
    <m/>
    <m/>
    <m/>
    <m/>
    <m/>
    <m/>
    <n v="0"/>
    <n v="0"/>
    <n v="0"/>
    <n v="0"/>
    <n v="3283.212222222222"/>
    <n v="3242.8111111111111"/>
  </r>
  <r>
    <x v="3"/>
    <s v="South Florida Community College "/>
    <m/>
    <n v="137315"/>
    <x v="7"/>
    <s v="sem"/>
    <s v="sem"/>
    <m/>
    <m/>
    <n v="21438"/>
    <n v="20029"/>
    <n v="6915"/>
    <n v="6394"/>
    <n v="21133"/>
    <n v="20933"/>
    <n v="49486"/>
    <n v="1649.5333333333333"/>
    <n v="47356"/>
    <n v="1578.5333333333333"/>
    <n v="5236"/>
    <n v="5311"/>
    <n v="49486"/>
    <n v="47356"/>
    <m/>
    <m/>
    <n v="447102"/>
    <n v="387106"/>
    <n v="244057"/>
    <n v="179605"/>
    <n v="394360"/>
    <n v="307704"/>
    <n v="1085519"/>
    <n v="1206.1322222222223"/>
    <n v="874415"/>
    <n v="971.57222222222219"/>
    <n v="93471"/>
    <n v="90138"/>
    <n v="1085519"/>
    <n v="874415"/>
    <m/>
    <m/>
    <m/>
    <m/>
    <m/>
    <m/>
    <m/>
    <m/>
    <n v="0"/>
    <n v="0"/>
    <n v="0"/>
    <n v="0"/>
    <n v="2855.6655555555553"/>
    <n v="2550.1055555555554"/>
  </r>
  <r>
    <x v="3"/>
    <s v="St. Johns River Community College "/>
    <s v="Met the criteria for Two-Year with Bachelor's in 2011-12."/>
    <n v="137281"/>
    <x v="7"/>
    <s v="sem"/>
    <s v="sem"/>
    <m/>
    <m/>
    <n v="54824"/>
    <n v="55862"/>
    <n v="27031"/>
    <n v="28011"/>
    <n v="57664"/>
    <n v="59157"/>
    <n v="139519"/>
    <n v="4650.6333333333332"/>
    <n v="143030"/>
    <n v="4767.666666666667"/>
    <n v="14543"/>
    <n v="14774"/>
    <n v="139519"/>
    <n v="143030"/>
    <m/>
    <m/>
    <n v="136703"/>
    <n v="117431"/>
    <n v="79226"/>
    <n v="65403"/>
    <n v="137816"/>
    <n v="110790"/>
    <n v="353745"/>
    <n v="393.05"/>
    <n v="293624"/>
    <n v="326.24888888888887"/>
    <n v="0"/>
    <n v="0"/>
    <n v="353745"/>
    <n v="293624"/>
    <m/>
    <m/>
    <m/>
    <m/>
    <m/>
    <m/>
    <m/>
    <m/>
    <n v="0"/>
    <n v="0"/>
    <n v="0"/>
    <n v="0"/>
    <n v="5043.6833333333334"/>
    <n v="5093.9155555555562"/>
  </r>
  <r>
    <x v="3"/>
    <s v="Florida Keys Community College "/>
    <m/>
    <n v="133960"/>
    <x v="8"/>
    <s v="sem"/>
    <s v="sem"/>
    <m/>
    <m/>
    <n v="12939"/>
    <n v="11322"/>
    <n v="4643"/>
    <n v="4743"/>
    <n v="12317"/>
    <n v="11470"/>
    <n v="29899"/>
    <n v="996.63333333333333"/>
    <n v="27535"/>
    <n v="917.83333333333337"/>
    <n v="2155"/>
    <n v="1914"/>
    <n v="29899"/>
    <n v="27535"/>
    <m/>
    <m/>
    <n v="13926"/>
    <n v="6750"/>
    <n v="4248"/>
    <n v="8057"/>
    <n v="11880"/>
    <n v="7251"/>
    <n v="30054"/>
    <n v="33.393333333333331"/>
    <n v="22058"/>
    <n v="24.50888888888889"/>
    <n v="0"/>
    <n v="0"/>
    <n v="30054"/>
    <n v="22058"/>
    <m/>
    <m/>
    <m/>
    <m/>
    <m/>
    <m/>
    <m/>
    <m/>
    <n v="0"/>
    <n v="0"/>
    <n v="0"/>
    <n v="0"/>
    <n v="1030.0266666666666"/>
    <n v="942.34222222222229"/>
  </r>
  <r>
    <x v="3"/>
    <s v="North Florida Community College "/>
    <m/>
    <n v="136145"/>
    <x v="8"/>
    <s v="sem"/>
    <s v="sem"/>
    <m/>
    <m/>
    <n v="9996"/>
    <n v="10776"/>
    <n v="3812"/>
    <n v="3901"/>
    <n v="12128"/>
    <n v="11642"/>
    <n v="25936"/>
    <n v="864.5333333333333"/>
    <n v="26319"/>
    <n v="877.3"/>
    <n v="3321"/>
    <n v="3712"/>
    <n v="25936"/>
    <n v="26319"/>
    <m/>
    <m/>
    <n v="54382"/>
    <n v="58213"/>
    <n v="15058"/>
    <n v="21125"/>
    <n v="52842"/>
    <n v="36927"/>
    <n v="122282"/>
    <n v="135.86888888888888"/>
    <n v="116265"/>
    <n v="129.18333333333334"/>
    <n v="360"/>
    <n v="590"/>
    <n v="122282"/>
    <n v="116265"/>
    <m/>
    <m/>
    <m/>
    <m/>
    <m/>
    <m/>
    <m/>
    <m/>
    <n v="0"/>
    <n v="0"/>
    <n v="0"/>
    <n v="0"/>
    <n v="1000.4022222222222"/>
    <n v="1006.4833333333333"/>
  </r>
  <r>
    <x v="4"/>
    <s v="Georgia State University "/>
    <m/>
    <n v="139940"/>
    <x v="0"/>
    <s v="sem"/>
    <s v="sem"/>
    <m/>
    <m/>
    <n v="272874.5"/>
    <n v="275402"/>
    <n v="78530"/>
    <n v="78791"/>
    <n v="290434.5"/>
    <n v="294405"/>
    <n v="641839"/>
    <n v="21394.633333333335"/>
    <n v="648598"/>
    <n v="21619.933333333334"/>
    <n v="1792.5"/>
    <n v="1532.5"/>
    <n v="641839"/>
    <n v="648598"/>
    <m/>
    <m/>
    <m/>
    <m/>
    <m/>
    <m/>
    <m/>
    <m/>
    <n v="0"/>
    <n v="0"/>
    <n v="0"/>
    <n v="0"/>
    <m/>
    <m/>
    <n v="0"/>
    <n v="0"/>
    <m/>
    <m/>
    <n v="85403"/>
    <n v="87459.5"/>
    <n v="49437.5"/>
    <n v="49381"/>
    <n v="89832"/>
    <n v="90191"/>
    <n v="224672.5"/>
    <n v="9361.3541666666661"/>
    <n v="227031.5"/>
    <n v="9459.6458333333339"/>
    <n v="30755.987500000003"/>
    <n v="31079.57916666667"/>
  </r>
  <r>
    <x v="4"/>
    <s v="University of Georgia"/>
    <m/>
    <n v="139959"/>
    <x v="0"/>
    <s v="sem"/>
    <s v="sem"/>
    <m/>
    <m/>
    <n v="340046"/>
    <n v="334519"/>
    <n v="61617"/>
    <n v="56768.5"/>
    <n v="351467"/>
    <n v="359771.6"/>
    <n v="753130"/>
    <n v="25104.333333333332"/>
    <n v="751059.1"/>
    <n v="25035.303333333333"/>
    <n v="150"/>
    <n v="245"/>
    <n v="753130"/>
    <n v="751059.1"/>
    <m/>
    <m/>
    <m/>
    <m/>
    <m/>
    <m/>
    <m/>
    <m/>
    <n v="0"/>
    <n v="0"/>
    <n v="0"/>
    <n v="0"/>
    <m/>
    <m/>
    <n v="0"/>
    <n v="0"/>
    <m/>
    <m/>
    <n v="98026.6"/>
    <n v="99386.2"/>
    <n v="40002"/>
    <n v="39236"/>
    <n v="103446.9"/>
    <n v="104179.8"/>
    <n v="241475.5"/>
    <n v="10061.479166666666"/>
    <n v="242802"/>
    <n v="10116.75"/>
    <n v="35165.8125"/>
    <n v="35152.05333333333"/>
  </r>
  <r>
    <x v="4"/>
    <s v="Georgia Institute of Technology"/>
    <m/>
    <n v="139755"/>
    <x v="1"/>
    <s v="sem"/>
    <s v="sem"/>
    <m/>
    <m/>
    <n v="174280"/>
    <n v="174934"/>
    <n v="46102"/>
    <n v="45475"/>
    <n v="188856"/>
    <n v="192016"/>
    <n v="409238"/>
    <n v="13641.266666666666"/>
    <n v="412425"/>
    <n v="13747.5"/>
    <n v="1950"/>
    <n v="2210"/>
    <n v="409238"/>
    <n v="412425"/>
    <m/>
    <m/>
    <m/>
    <m/>
    <m/>
    <m/>
    <m/>
    <m/>
    <n v="0"/>
    <n v="0"/>
    <n v="0"/>
    <n v="0"/>
    <m/>
    <m/>
    <n v="0"/>
    <n v="0"/>
    <m/>
    <m/>
    <n v="90181.5"/>
    <n v="91420.5"/>
    <n v="43665"/>
    <n v="44087.5"/>
    <n v="98025"/>
    <n v="99332"/>
    <n v="231871.5"/>
    <n v="9661.3125"/>
    <n v="234840"/>
    <n v="9785"/>
    <n v="23302.579166666666"/>
    <n v="23532.5"/>
  </r>
  <r>
    <x v="4"/>
    <s v="Georgia Southern University"/>
    <m/>
    <n v="139931"/>
    <x v="2"/>
    <s v="sem"/>
    <s v="sem"/>
    <m/>
    <m/>
    <n v="205502"/>
    <n v="211194.5"/>
    <n v="59225"/>
    <n v="61666"/>
    <n v="230015"/>
    <n v="233397"/>
    <n v="494742"/>
    <n v="16491.400000000001"/>
    <n v="506257.5"/>
    <n v="16875.25"/>
    <n v="1610"/>
    <n v="1921"/>
    <n v="494742"/>
    <n v="506257.5"/>
    <m/>
    <m/>
    <m/>
    <m/>
    <m/>
    <m/>
    <m/>
    <m/>
    <n v="0"/>
    <n v="0"/>
    <n v="0"/>
    <n v="0"/>
    <m/>
    <m/>
    <n v="0"/>
    <n v="0"/>
    <m/>
    <m/>
    <n v="16740"/>
    <n v="16343"/>
    <n v="10768"/>
    <n v="11657"/>
    <n v="17278"/>
    <n v="17673"/>
    <n v="44786"/>
    <n v="1866.0833333333333"/>
    <n v="45673"/>
    <n v="1903.0416666666667"/>
    <n v="18357.483333333334"/>
    <n v="18778.291666666668"/>
  </r>
  <r>
    <x v="4"/>
    <s v="University of West Georgia"/>
    <m/>
    <n v="141334"/>
    <x v="2"/>
    <s v="sem"/>
    <s v="sem"/>
    <m/>
    <m/>
    <n v="117328"/>
    <n v="116229"/>
    <n v="32634"/>
    <n v="33909"/>
    <n v="125774"/>
    <n v="128657"/>
    <n v="275736"/>
    <n v="9191.2000000000007"/>
    <n v="278795"/>
    <n v="9293.1666666666661"/>
    <n v="2672"/>
    <n v="2573"/>
    <n v="275736"/>
    <n v="278795"/>
    <m/>
    <m/>
    <m/>
    <m/>
    <m/>
    <m/>
    <m/>
    <m/>
    <n v="0"/>
    <n v="0"/>
    <n v="0"/>
    <n v="0"/>
    <m/>
    <m/>
    <n v="0"/>
    <n v="0"/>
    <m/>
    <m/>
    <n v="9841"/>
    <n v="8800"/>
    <n v="7411"/>
    <n v="6858"/>
    <n v="9178"/>
    <n v="9888"/>
    <n v="26430"/>
    <n v="1101.25"/>
    <n v="25546"/>
    <n v="1064.4166666666667"/>
    <n v="10292.450000000001"/>
    <n v="10357.583333333332"/>
  </r>
  <r>
    <x v="4"/>
    <s v="Valdosta State University "/>
    <m/>
    <n v="141264"/>
    <x v="2"/>
    <s v="sem"/>
    <s v="sem"/>
    <m/>
    <m/>
    <n v="130748"/>
    <n v="132972"/>
    <n v="26477"/>
    <n v="26870"/>
    <n v="142481"/>
    <n v="139485"/>
    <n v="299706"/>
    <n v="9990.2000000000007"/>
    <n v="299327"/>
    <n v="9977.5666666666675"/>
    <n v="231"/>
    <n v="269"/>
    <n v="299706"/>
    <n v="299327"/>
    <m/>
    <m/>
    <m/>
    <m/>
    <m/>
    <m/>
    <m/>
    <m/>
    <n v="0"/>
    <n v="0"/>
    <n v="0"/>
    <n v="0"/>
    <m/>
    <m/>
    <n v="0"/>
    <n v="0"/>
    <m/>
    <m/>
    <n v="13982"/>
    <n v="15081"/>
    <n v="9767"/>
    <n v="12012"/>
    <n v="14512"/>
    <n v="15975"/>
    <n v="38261"/>
    <n v="1594.2083333333333"/>
    <n v="43068"/>
    <n v="1794.5"/>
    <n v="11584.408333333335"/>
    <n v="11772.066666666668"/>
  </r>
  <r>
    <x v="4"/>
    <s v="Albany State University "/>
    <m/>
    <n v="138716"/>
    <x v="3"/>
    <s v="sem"/>
    <s v="sem"/>
    <m/>
    <m/>
    <n v="50049"/>
    <n v="50803"/>
    <n v="18468"/>
    <n v="19410"/>
    <n v="54588"/>
    <n v="54183"/>
    <n v="123105"/>
    <n v="4103.5"/>
    <n v="124396"/>
    <n v="4146.5333333333338"/>
    <n v="31"/>
    <n v="37"/>
    <n v="123105"/>
    <n v="124396"/>
    <m/>
    <m/>
    <m/>
    <m/>
    <m/>
    <m/>
    <m/>
    <m/>
    <n v="0"/>
    <n v="0"/>
    <n v="0"/>
    <n v="0"/>
    <m/>
    <m/>
    <n v="0"/>
    <n v="0"/>
    <m/>
    <m/>
    <n v="2798"/>
    <n v="3017"/>
    <n v="1934"/>
    <n v="2224"/>
    <n v="3205"/>
    <n v="3327"/>
    <n v="7937"/>
    <n v="330.70833333333331"/>
    <n v="8568"/>
    <n v="357"/>
    <n v="4434.208333333333"/>
    <n v="4503.5333333333338"/>
  </r>
  <r>
    <x v="4"/>
    <s v="Armstrong Atlantic State University"/>
    <m/>
    <n v="138789"/>
    <x v="3"/>
    <s v="sem"/>
    <s v="sem"/>
    <m/>
    <m/>
    <n v="72463.3"/>
    <n v="76494.399999999994"/>
    <n v="21244.799999999999"/>
    <n v="22230"/>
    <n v="81381.600000000006"/>
    <n v="79879"/>
    <n v="175089.7"/>
    <n v="5836.3233333333337"/>
    <n v="178603.4"/>
    <n v="5953.4466666666667"/>
    <n v="928"/>
    <n v="745"/>
    <n v="175089.7"/>
    <n v="178603.4"/>
    <m/>
    <m/>
    <m/>
    <m/>
    <m/>
    <m/>
    <m/>
    <m/>
    <n v="0"/>
    <n v="0"/>
    <n v="0"/>
    <n v="0"/>
    <m/>
    <m/>
    <n v="0"/>
    <n v="0"/>
    <m/>
    <m/>
    <n v="5770"/>
    <n v="5032"/>
    <n v="3958"/>
    <n v="3282"/>
    <n v="5546"/>
    <n v="4853"/>
    <n v="15274"/>
    <n v="636.41666666666663"/>
    <n v="13167"/>
    <n v="548.625"/>
    <n v="6472.7400000000007"/>
    <n v="6502.0716666666667"/>
  </r>
  <r>
    <x v="4"/>
    <s v="Columbus State University"/>
    <m/>
    <n v="139366"/>
    <x v="3"/>
    <s v="sem"/>
    <s v="sem"/>
    <m/>
    <m/>
    <n v="79581"/>
    <n v="78366"/>
    <n v="24072"/>
    <n v="23168"/>
    <n v="82915"/>
    <n v="83177"/>
    <n v="186568"/>
    <n v="6218.9333333333334"/>
    <n v="184711"/>
    <n v="6157.0333333333338"/>
    <n v="860"/>
    <n v="766"/>
    <n v="186568"/>
    <n v="184711"/>
    <m/>
    <m/>
    <m/>
    <m/>
    <m/>
    <m/>
    <m/>
    <m/>
    <n v="0"/>
    <n v="0"/>
    <n v="0"/>
    <n v="0"/>
    <m/>
    <m/>
    <n v="0"/>
    <n v="0"/>
    <m/>
    <m/>
    <n v="8092"/>
    <n v="7799"/>
    <n v="4870"/>
    <n v="5414"/>
    <n v="8385"/>
    <n v="8343"/>
    <n v="21347"/>
    <n v="889.45833333333337"/>
    <n v="21556"/>
    <n v="898.16666666666663"/>
    <n v="7108.3916666666664"/>
    <n v="7055.2000000000007"/>
  </r>
  <r>
    <x v="4"/>
    <s v="Georgia College and State University"/>
    <m/>
    <n v="139861"/>
    <x v="3"/>
    <s v="sem"/>
    <s v="sem"/>
    <m/>
    <m/>
    <n v="72259"/>
    <n v="72065"/>
    <n v="15858"/>
    <n v="15575"/>
    <n v="78216"/>
    <n v="77941.5"/>
    <n v="166333"/>
    <n v="5544.4333333333334"/>
    <n v="165581.5"/>
    <n v="5519.3833333333332"/>
    <n v="634"/>
    <n v="574"/>
    <n v="166333"/>
    <n v="165581.5"/>
    <m/>
    <m/>
    <m/>
    <m/>
    <m/>
    <m/>
    <m/>
    <m/>
    <n v="0"/>
    <n v="0"/>
    <n v="0"/>
    <n v="0"/>
    <m/>
    <m/>
    <n v="0"/>
    <n v="0"/>
    <m/>
    <m/>
    <n v="6944"/>
    <n v="7029"/>
    <n v="5221"/>
    <n v="5101.5"/>
    <n v="7440"/>
    <n v="7359"/>
    <n v="19605"/>
    <n v="816.875"/>
    <n v="19489.5"/>
    <n v="812.0625"/>
    <n v="6361.3083333333334"/>
    <n v="6331.4458333333332"/>
  </r>
  <r>
    <x v="4"/>
    <s v="Kennesaw State University"/>
    <s v="Met the criteria for Four-Year 3 in 2011-12."/>
    <n v="140164"/>
    <x v="3"/>
    <s v="sem"/>
    <s v="sem"/>
    <m/>
    <m/>
    <n v="241792"/>
    <n v="250745"/>
    <n v="77014"/>
    <n v="74469"/>
    <n v="262278"/>
    <n v="269717"/>
    <n v="581084"/>
    <n v="19369.466666666667"/>
    <n v="594931"/>
    <n v="19831.033333333333"/>
    <n v="2709"/>
    <n v="3558"/>
    <n v="581084"/>
    <n v="594931"/>
    <m/>
    <m/>
    <m/>
    <m/>
    <m/>
    <m/>
    <m/>
    <m/>
    <n v="0"/>
    <n v="0"/>
    <n v="0"/>
    <n v="0"/>
    <m/>
    <m/>
    <n v="0"/>
    <n v="0"/>
    <m/>
    <m/>
    <n v="14808"/>
    <n v="13653"/>
    <n v="8711"/>
    <n v="7801"/>
    <n v="15087"/>
    <n v="13764"/>
    <n v="38606"/>
    <n v="1608.5833333333333"/>
    <n v="35218"/>
    <n v="1467.4166666666667"/>
    <n v="20978.05"/>
    <n v="21298.45"/>
  </r>
  <r>
    <x v="4"/>
    <s v="Augusta State University"/>
    <s v="Met the criteria for Four-Year 4 in 2010-11 and 2011-12."/>
    <n v="138983"/>
    <x v="4"/>
    <s v="sem"/>
    <s v="sem"/>
    <m/>
    <m/>
    <n v="65976"/>
    <n v="65929"/>
    <n v="18559"/>
    <n v="17265"/>
    <n v="70294"/>
    <n v="68476"/>
    <n v="154829"/>
    <n v="5160.9666666666662"/>
    <n v="151670"/>
    <n v="5055.666666666667"/>
    <n v="923"/>
    <n v="844"/>
    <n v="154829"/>
    <n v="151670"/>
    <m/>
    <m/>
    <m/>
    <m/>
    <m/>
    <m/>
    <m/>
    <m/>
    <n v="0"/>
    <n v="0"/>
    <n v="0"/>
    <n v="0"/>
    <m/>
    <m/>
    <n v="0"/>
    <n v="0"/>
    <m/>
    <m/>
    <n v="7415"/>
    <n v="6120"/>
    <n v="4654"/>
    <n v="3620"/>
    <n v="6474"/>
    <n v="5852"/>
    <n v="18543"/>
    <n v="772.625"/>
    <n v="15592"/>
    <n v="649.66666666666663"/>
    <n v="5933.5916666666662"/>
    <n v="5705.3333333333339"/>
  </r>
  <r>
    <x v="4"/>
    <s v="Clayton State University"/>
    <s v="Reclassified: met the criteria for Four-Year 5 in 2009-10, 2010-11 and 2011-12."/>
    <n v="139311"/>
    <x v="4"/>
    <s v="sem"/>
    <s v="sem"/>
    <m/>
    <m/>
    <n v="70958"/>
    <n v="70014"/>
    <n v="28536"/>
    <n v="28772"/>
    <n v="69440"/>
    <n v="70882"/>
    <n v="168934"/>
    <n v="5631.1333333333332"/>
    <n v="169668"/>
    <n v="5655.6"/>
    <n v="4142"/>
    <n v="4597"/>
    <n v="168934"/>
    <n v="169668"/>
    <m/>
    <m/>
    <m/>
    <m/>
    <m/>
    <m/>
    <m/>
    <m/>
    <n v="0"/>
    <n v="0"/>
    <n v="0"/>
    <n v="0"/>
    <m/>
    <m/>
    <n v="0"/>
    <n v="0"/>
    <m/>
    <m/>
    <n v="1241"/>
    <n v="1793"/>
    <n v="965"/>
    <n v="1135"/>
    <n v="1599"/>
    <n v="2139"/>
    <n v="3805"/>
    <n v="158.54166666666666"/>
    <n v="5067"/>
    <n v="211.125"/>
    <n v="5789.6750000000002"/>
    <n v="5866.7250000000004"/>
  </r>
  <r>
    <x v="4"/>
    <s v="Fort Valley State University"/>
    <m/>
    <n v="139719"/>
    <x v="4"/>
    <s v="sem"/>
    <s v="sem"/>
    <m/>
    <m/>
    <n v="45001"/>
    <n v="43498"/>
    <n v="11156"/>
    <n v="10572"/>
    <n v="45899"/>
    <n v="48340"/>
    <n v="102056"/>
    <n v="3401.8666666666668"/>
    <n v="102410"/>
    <n v="3413.6666666666665"/>
    <n v="203"/>
    <n v="265"/>
    <n v="102056"/>
    <n v="102410"/>
    <m/>
    <m/>
    <m/>
    <m/>
    <m/>
    <m/>
    <m/>
    <m/>
    <n v="0"/>
    <n v="0"/>
    <n v="0"/>
    <n v="0"/>
    <m/>
    <m/>
    <n v="0"/>
    <n v="0"/>
    <m/>
    <m/>
    <n v="1373"/>
    <n v="1661"/>
    <n v="819"/>
    <n v="920"/>
    <n v="1374"/>
    <n v="1721"/>
    <n v="3566"/>
    <n v="148.58333333333334"/>
    <n v="4302"/>
    <n v="179.25"/>
    <n v="3550.4500000000003"/>
    <n v="3592.9166666666665"/>
  </r>
  <r>
    <x v="4"/>
    <s v="Georgia Southwestern State University"/>
    <m/>
    <n v="139764"/>
    <x v="4"/>
    <s v="sem"/>
    <s v="sem"/>
    <m/>
    <m/>
    <n v="30377"/>
    <n v="32215"/>
    <n v="11215"/>
    <n v="11775"/>
    <n v="34458"/>
    <n v="33474"/>
    <n v="76050"/>
    <n v="2535"/>
    <n v="77464"/>
    <n v="2582.1333333333332"/>
    <n v="470"/>
    <n v="643"/>
    <n v="76050"/>
    <n v="77464"/>
    <m/>
    <m/>
    <m/>
    <m/>
    <m/>
    <m/>
    <m/>
    <m/>
    <n v="0"/>
    <n v="0"/>
    <n v="0"/>
    <n v="0"/>
    <m/>
    <m/>
    <n v="0"/>
    <n v="0"/>
    <m/>
    <m/>
    <n v="2226"/>
    <n v="1623"/>
    <n v="2589"/>
    <n v="2334"/>
    <n v="1551"/>
    <n v="1860"/>
    <n v="6366"/>
    <n v="265.25"/>
    <n v="5817"/>
    <n v="242.375"/>
    <n v="2800.25"/>
    <n v="2824.5083333333332"/>
  </r>
  <r>
    <x v="4"/>
    <s v="North Georgia College and State University"/>
    <s v="Met the criteria for Four-Year 4 in 2010-11 and 2011-12."/>
    <n v="140669"/>
    <x v="4"/>
    <s v="sem"/>
    <s v="sem"/>
    <m/>
    <m/>
    <n v="62759"/>
    <n v="67162"/>
    <n v="13939"/>
    <n v="14643"/>
    <n v="69397"/>
    <n v="71634"/>
    <n v="146095"/>
    <n v="4869.833333333333"/>
    <n v="153439"/>
    <n v="5114.6333333333332"/>
    <n v="206"/>
    <n v="210"/>
    <n v="146095"/>
    <n v="153439"/>
    <m/>
    <m/>
    <m/>
    <m/>
    <m/>
    <m/>
    <m/>
    <m/>
    <n v="0"/>
    <n v="0"/>
    <n v="0"/>
    <n v="0"/>
    <m/>
    <m/>
    <n v="0"/>
    <n v="0"/>
    <m/>
    <m/>
    <n v="2737"/>
    <n v="3801"/>
    <n v="3383"/>
    <n v="3491"/>
    <n v="4080"/>
    <n v="3839"/>
    <n v="10200"/>
    <n v="425"/>
    <n v="11131"/>
    <n v="463.79166666666669"/>
    <n v="5294.833333333333"/>
    <n v="5578.4250000000002"/>
  </r>
  <r>
    <x v="4"/>
    <s v="Savannah State University"/>
    <m/>
    <n v="140960"/>
    <x v="4"/>
    <s v="sem"/>
    <s v="sem"/>
    <m/>
    <m/>
    <n v="47770"/>
    <n v="48301"/>
    <n v="12768"/>
    <n v="13000"/>
    <n v="52522"/>
    <n v="57314"/>
    <n v="113060"/>
    <n v="3768.6666666666665"/>
    <n v="118615"/>
    <n v="3953.8333333333335"/>
    <n v="726"/>
    <n v="1034"/>
    <n v="113060"/>
    <n v="118615"/>
    <m/>
    <m/>
    <m/>
    <m/>
    <m/>
    <m/>
    <m/>
    <m/>
    <n v="0"/>
    <n v="0"/>
    <n v="0"/>
    <n v="0"/>
    <m/>
    <m/>
    <n v="0"/>
    <n v="0"/>
    <m/>
    <m/>
    <n v="1167"/>
    <n v="1239"/>
    <n v="315"/>
    <n v="345"/>
    <n v="1313"/>
    <n v="1503"/>
    <n v="2795"/>
    <n v="116.45833333333333"/>
    <n v="3087"/>
    <n v="128.625"/>
    <n v="3885.125"/>
    <n v="4082.4583333333335"/>
  </r>
  <r>
    <x v="4"/>
    <s v="Georgia Gwinnett College"/>
    <s v="Met the criteia for Four-Year 6 in 2011-12 but still (?) in start up phase?"/>
    <n v="447689"/>
    <x v="5"/>
    <s v="sem"/>
    <s v="sem"/>
    <m/>
    <m/>
    <n v="37530"/>
    <n v="67161"/>
    <n v="10190"/>
    <n v="18140"/>
    <n v="64003"/>
    <n v="92274"/>
    <n v="111723"/>
    <n v="3724.1"/>
    <n v="177575"/>
    <n v="5919.166666666667"/>
    <n v="1761"/>
    <n v="2408"/>
    <n v="111723"/>
    <n v="177575"/>
    <m/>
    <m/>
    <m/>
    <m/>
    <m/>
    <m/>
    <m/>
    <m/>
    <n v="0"/>
    <n v="0"/>
    <n v="0"/>
    <n v="0"/>
    <m/>
    <m/>
    <n v="0"/>
    <n v="0"/>
    <m/>
    <m/>
    <m/>
    <m/>
    <m/>
    <m/>
    <m/>
    <m/>
    <n v="0"/>
    <n v="0"/>
    <n v="0"/>
    <n v="0"/>
    <n v="3724.1"/>
    <n v="5919.166666666667"/>
  </r>
  <r>
    <x v="4"/>
    <s v="Macon State College "/>
    <m/>
    <n v="140322"/>
    <x v="5"/>
    <s v="sem"/>
    <s v="sem"/>
    <m/>
    <m/>
    <n v="65702"/>
    <n v="61658"/>
    <n v="26823"/>
    <n v="25609"/>
    <n v="64264"/>
    <n v="60160"/>
    <n v="156789"/>
    <n v="5226.3"/>
    <n v="147427"/>
    <n v="4914.2333333333336"/>
    <n v="937"/>
    <n v="1203"/>
    <n v="156789"/>
    <n v="147427"/>
    <m/>
    <m/>
    <m/>
    <m/>
    <m/>
    <m/>
    <m/>
    <m/>
    <n v="0"/>
    <n v="0"/>
    <n v="0"/>
    <n v="0"/>
    <m/>
    <m/>
    <n v="0"/>
    <n v="0"/>
    <m/>
    <m/>
    <m/>
    <m/>
    <m/>
    <m/>
    <m/>
    <m/>
    <n v="0"/>
    <n v="0"/>
    <n v="0"/>
    <n v="0"/>
    <n v="5226.3"/>
    <n v="4914.2333333333336"/>
  </r>
  <r>
    <x v="4"/>
    <s v="Dalton State College "/>
    <m/>
    <n v="139463"/>
    <x v="11"/>
    <s v="sem"/>
    <s v="sem"/>
    <m/>
    <m/>
    <n v="59021"/>
    <n v="60114"/>
    <n v="14948"/>
    <n v="13407"/>
    <n v="64257"/>
    <n v="58779"/>
    <n v="138226"/>
    <n v="4607.5333333333338"/>
    <n v="132300"/>
    <n v="4410"/>
    <n v="979"/>
    <n v="991"/>
    <n v="138226"/>
    <n v="132300"/>
    <m/>
    <m/>
    <m/>
    <m/>
    <m/>
    <m/>
    <m/>
    <m/>
    <n v="0"/>
    <n v="0"/>
    <n v="0"/>
    <n v="0"/>
    <m/>
    <m/>
    <n v="0"/>
    <n v="0"/>
    <m/>
    <m/>
    <m/>
    <m/>
    <m/>
    <m/>
    <m/>
    <m/>
    <n v="0"/>
    <n v="0"/>
    <n v="0"/>
    <n v="0"/>
    <n v="4607.5333333333338"/>
    <n v="4410"/>
  </r>
  <r>
    <x v="4"/>
    <s v="Gainesville State College "/>
    <m/>
    <n v="139773"/>
    <x v="11"/>
    <s v="sem"/>
    <s v="sem"/>
    <m/>
    <m/>
    <n v="90696"/>
    <n v="87167"/>
    <n v="21540"/>
    <n v="21559"/>
    <n v="99648"/>
    <n v="92855"/>
    <n v="211884"/>
    <n v="7062.8"/>
    <n v="201581"/>
    <n v="6719.3666666666668"/>
    <n v="1891"/>
    <n v="11206"/>
    <n v="211884"/>
    <n v="201581"/>
    <m/>
    <m/>
    <m/>
    <m/>
    <m/>
    <m/>
    <m/>
    <m/>
    <n v="0"/>
    <n v="0"/>
    <n v="0"/>
    <n v="0"/>
    <m/>
    <m/>
    <n v="0"/>
    <n v="0"/>
    <m/>
    <m/>
    <m/>
    <m/>
    <m/>
    <m/>
    <m/>
    <m/>
    <n v="0"/>
    <n v="0"/>
    <n v="0"/>
    <n v="0"/>
    <n v="7062.8"/>
    <n v="6719.3666666666668"/>
  </r>
  <r>
    <x v="4"/>
    <s v="Gordon College "/>
    <s v="Reclassified: met the criteria for Two-Year with Bachelor's in 2009-10, 2010-11 and 2011-12."/>
    <n v="139968"/>
    <x v="11"/>
    <s v="sem"/>
    <s v="sem"/>
    <m/>
    <m/>
    <n v="51741"/>
    <n v="56296"/>
    <n v="10591"/>
    <n v="9907"/>
    <n v="59568"/>
    <n v="54394"/>
    <n v="121900"/>
    <n v="4063.3333333333335"/>
    <n v="120597"/>
    <n v="4019.9"/>
    <n v="488"/>
    <n v="766"/>
    <n v="121900"/>
    <n v="120597"/>
    <m/>
    <m/>
    <m/>
    <m/>
    <m/>
    <m/>
    <m/>
    <m/>
    <n v="0"/>
    <n v="0"/>
    <n v="0"/>
    <n v="0"/>
    <m/>
    <m/>
    <n v="0"/>
    <n v="0"/>
    <m/>
    <m/>
    <m/>
    <m/>
    <m/>
    <m/>
    <m/>
    <m/>
    <n v="0"/>
    <n v="0"/>
    <n v="0"/>
    <n v="0"/>
    <n v="4063.3333333333335"/>
    <n v="4019.9"/>
  </r>
  <r>
    <x v="4"/>
    <s v="Georgia Perimeter College "/>
    <m/>
    <n v="244437"/>
    <x v="6"/>
    <s v="sem"/>
    <s v="sem"/>
    <m/>
    <m/>
    <n v="249558"/>
    <n v="250419"/>
    <n v="92265"/>
    <n v="105024"/>
    <n v="238981"/>
    <n v="254794"/>
    <n v="580804"/>
    <n v="19360.133333333335"/>
    <n v="610237"/>
    <n v="20341.233333333334"/>
    <n v="9130"/>
    <n v="772"/>
    <n v="580804"/>
    <n v="610237"/>
    <m/>
    <m/>
    <m/>
    <m/>
    <m/>
    <m/>
    <m/>
    <m/>
    <n v="0"/>
    <n v="0"/>
    <n v="0"/>
    <n v="0"/>
    <m/>
    <m/>
    <n v="0"/>
    <n v="0"/>
    <m/>
    <m/>
    <m/>
    <m/>
    <m/>
    <m/>
    <m/>
    <m/>
    <n v="0"/>
    <n v="0"/>
    <n v="0"/>
    <n v="0"/>
    <n v="19360.133333333335"/>
    <n v="20341.233333333334"/>
  </r>
  <r>
    <x v="4"/>
    <s v="Abraham Baldwin Agricultural College "/>
    <s v="Met the criteria for Two-Year with Bachelor's in 2011-12. "/>
    <n v="138558"/>
    <x v="7"/>
    <s v="sem"/>
    <s v="sem"/>
    <m/>
    <m/>
    <n v="35407"/>
    <n v="35443"/>
    <n v="7488"/>
    <n v="8028"/>
    <n v="39045"/>
    <n v="37672"/>
    <n v="81940"/>
    <n v="2731.3333333333335"/>
    <n v="81143"/>
    <n v="2704.7666666666669"/>
    <n v="461"/>
    <n v="1241"/>
    <n v="81940"/>
    <n v="81143"/>
    <m/>
    <m/>
    <m/>
    <m/>
    <m/>
    <m/>
    <m/>
    <m/>
    <n v="0"/>
    <n v="0"/>
    <n v="0"/>
    <n v="0"/>
    <m/>
    <m/>
    <n v="0"/>
    <n v="0"/>
    <m/>
    <m/>
    <m/>
    <m/>
    <m/>
    <m/>
    <m/>
    <m/>
    <n v="0"/>
    <n v="0"/>
    <n v="0"/>
    <n v="0"/>
    <n v="2731.3333333333335"/>
    <n v="2704.7666666666669"/>
  </r>
  <r>
    <x v="4"/>
    <s v="Atlanta Metropolitan College"/>
    <s v="Reclassified: Met the criteria for Two-Year 2 in 2009-10, 2010-11 and 2011-12."/>
    <n v="138901"/>
    <x v="7"/>
    <s v="sem"/>
    <s v="sem"/>
    <m/>
    <m/>
    <n v="30588"/>
    <n v="32533"/>
    <n v="15458"/>
    <n v="13582"/>
    <n v="34383"/>
    <n v="29816"/>
    <n v="80429"/>
    <n v="2680.9666666666667"/>
    <n v="75931"/>
    <n v="2531.0333333333333"/>
    <n v="189"/>
    <n v="300"/>
    <n v="80429"/>
    <n v="75931"/>
    <m/>
    <m/>
    <m/>
    <m/>
    <m/>
    <m/>
    <m/>
    <m/>
    <n v="0"/>
    <n v="0"/>
    <n v="0"/>
    <n v="0"/>
    <m/>
    <m/>
    <n v="0"/>
    <n v="0"/>
    <m/>
    <m/>
    <m/>
    <m/>
    <m/>
    <m/>
    <m/>
    <m/>
    <n v="0"/>
    <n v="0"/>
    <n v="0"/>
    <n v="0"/>
    <n v="2680.9666666666667"/>
    <n v="2531.0333333333333"/>
  </r>
  <r>
    <x v="4"/>
    <s v="Bainbridge College "/>
    <m/>
    <n v="139010"/>
    <x v="7"/>
    <s v="sem"/>
    <s v="sem"/>
    <m/>
    <m/>
    <n v="39130"/>
    <n v="39960"/>
    <n v="22371"/>
    <n v="23673"/>
    <n v="38927"/>
    <n v="39342"/>
    <n v="100428"/>
    <n v="3347.6"/>
    <n v="102975"/>
    <n v="3432.5"/>
    <n v="1501"/>
    <n v="873"/>
    <n v="100428"/>
    <n v="102975"/>
    <m/>
    <m/>
    <m/>
    <m/>
    <m/>
    <m/>
    <m/>
    <m/>
    <n v="0"/>
    <n v="0"/>
    <n v="0"/>
    <n v="0"/>
    <m/>
    <m/>
    <n v="0"/>
    <n v="0"/>
    <m/>
    <m/>
    <m/>
    <m/>
    <m/>
    <m/>
    <m/>
    <m/>
    <n v="0"/>
    <n v="0"/>
    <n v="0"/>
    <n v="0"/>
    <n v="3347.6"/>
    <n v="3432.5"/>
  </r>
  <r>
    <x v="4"/>
    <s v="College of Coastal Georgia "/>
    <s v="Met the criteria for Two-Year with Bachelor's in 2011-12. "/>
    <n v="139250"/>
    <x v="7"/>
    <s v="sem"/>
    <s v="sem"/>
    <m/>
    <m/>
    <n v="32135"/>
    <n v="34704"/>
    <n v="11595"/>
    <n v="10136"/>
    <n v="36464"/>
    <n v="37459"/>
    <n v="80194"/>
    <n v="2673.1333333333332"/>
    <n v="82299"/>
    <n v="2743.3"/>
    <n v="452.5"/>
    <n v="907.5"/>
    <n v="80194"/>
    <n v="82299"/>
    <m/>
    <m/>
    <m/>
    <m/>
    <m/>
    <m/>
    <m/>
    <m/>
    <n v="0"/>
    <n v="0"/>
    <n v="0"/>
    <n v="0"/>
    <m/>
    <m/>
    <n v="0"/>
    <n v="0"/>
    <m/>
    <m/>
    <m/>
    <m/>
    <m/>
    <m/>
    <m/>
    <m/>
    <n v="0"/>
    <n v="0"/>
    <n v="0"/>
    <n v="0"/>
    <n v="2673.1333333333332"/>
    <n v="2743.3"/>
  </r>
  <r>
    <x v="4"/>
    <s v="Darton College "/>
    <m/>
    <n v="138691"/>
    <x v="7"/>
    <s v="sem"/>
    <s v="sem"/>
    <m/>
    <m/>
    <n v="55012"/>
    <n v="52377"/>
    <n v="31711.5"/>
    <n v="28811.5"/>
    <n v="58005.5"/>
    <n v="60674.5"/>
    <n v="144729"/>
    <n v="4824.3"/>
    <n v="141863"/>
    <n v="4728.7666666666664"/>
    <n v="814.5"/>
    <n v="1773"/>
    <n v="144729"/>
    <n v="141863"/>
    <m/>
    <m/>
    <m/>
    <m/>
    <m/>
    <m/>
    <m/>
    <m/>
    <n v="0"/>
    <n v="0"/>
    <n v="0"/>
    <n v="0"/>
    <m/>
    <m/>
    <n v="0"/>
    <n v="0"/>
    <m/>
    <m/>
    <m/>
    <m/>
    <m/>
    <m/>
    <m/>
    <m/>
    <n v="0"/>
    <n v="0"/>
    <n v="0"/>
    <n v="0"/>
    <n v="4824.3"/>
    <n v="4728.7666666666664"/>
  </r>
  <r>
    <x v="4"/>
    <s v="East Georgia College"/>
    <s v="Reclassified: Met the criteria for Two-Year 2 in 2009-10, 2010-11 and 2011-12."/>
    <n v="139621"/>
    <x v="7"/>
    <s v="sem"/>
    <s v="sem"/>
    <m/>
    <m/>
    <n v="30560"/>
    <n v="32742"/>
    <n v="8053"/>
    <n v="8505"/>
    <n v="35396"/>
    <n v="39921"/>
    <n v="74009"/>
    <n v="2466.9666666666667"/>
    <n v="81168"/>
    <n v="2705.6"/>
    <n v="350"/>
    <n v="427"/>
    <n v="74009"/>
    <n v="81168"/>
    <m/>
    <m/>
    <m/>
    <m/>
    <m/>
    <m/>
    <m/>
    <m/>
    <n v="0"/>
    <n v="0"/>
    <n v="0"/>
    <n v="0"/>
    <m/>
    <m/>
    <n v="0"/>
    <n v="0"/>
    <m/>
    <m/>
    <m/>
    <m/>
    <m/>
    <m/>
    <m/>
    <m/>
    <n v="0"/>
    <n v="0"/>
    <n v="0"/>
    <n v="0"/>
    <n v="2466.9666666666667"/>
    <n v="2705.6"/>
  </r>
  <r>
    <x v="4"/>
    <s v="Georgia Highlands College"/>
    <m/>
    <n v="139700"/>
    <x v="7"/>
    <s v="sem"/>
    <s v="sem"/>
    <m/>
    <m/>
    <n v="54466"/>
    <n v="54217"/>
    <n v="13260"/>
    <n v="14882"/>
    <n v="55319"/>
    <n v="57318"/>
    <n v="123045"/>
    <n v="4101.5"/>
    <n v="126417"/>
    <n v="4213.8999999999996"/>
    <n v="805"/>
    <n v="1083"/>
    <n v="123045"/>
    <n v="126417"/>
    <m/>
    <m/>
    <m/>
    <m/>
    <m/>
    <m/>
    <m/>
    <m/>
    <n v="0"/>
    <n v="0"/>
    <n v="0"/>
    <n v="0"/>
    <m/>
    <m/>
    <n v="0"/>
    <n v="0"/>
    <m/>
    <m/>
    <m/>
    <m/>
    <m/>
    <m/>
    <m/>
    <m/>
    <n v="0"/>
    <n v="0"/>
    <n v="0"/>
    <n v="0"/>
    <n v="4101.5"/>
    <n v="4213.8999999999996"/>
  </r>
  <r>
    <x v="4"/>
    <s v="Middle Georgia College "/>
    <s v="Met the criteria for Two-Year with Bachelor's in 2011-12. "/>
    <n v="140483"/>
    <x v="7"/>
    <s v="sem"/>
    <s v="sem"/>
    <m/>
    <m/>
    <n v="40918"/>
    <n v="39534"/>
    <n v="12523"/>
    <n v="12649"/>
    <n v="41598"/>
    <n v="40079"/>
    <n v="95039"/>
    <n v="3167.9666666666667"/>
    <n v="92262"/>
    <n v="3075.4"/>
    <n v="3789"/>
    <n v="3334"/>
    <n v="95039"/>
    <n v="92262"/>
    <m/>
    <m/>
    <m/>
    <m/>
    <m/>
    <m/>
    <m/>
    <m/>
    <n v="0"/>
    <n v="0"/>
    <n v="0"/>
    <n v="0"/>
    <m/>
    <m/>
    <n v="0"/>
    <n v="0"/>
    <m/>
    <m/>
    <m/>
    <m/>
    <m/>
    <m/>
    <m/>
    <m/>
    <n v="0"/>
    <n v="0"/>
    <n v="0"/>
    <n v="0"/>
    <n v="3167.9666666666667"/>
    <n v="3075.4"/>
  </r>
  <r>
    <x v="4"/>
    <s v="South Georgia College "/>
    <m/>
    <n v="140997"/>
    <x v="8"/>
    <s v="sem"/>
    <s v="sem"/>
    <m/>
    <m/>
    <n v="23064"/>
    <n v="23745"/>
    <n v="7438"/>
    <n v="7156"/>
    <n v="26935"/>
    <n v="27869"/>
    <n v="57437"/>
    <n v="1914.5666666666666"/>
    <n v="58770"/>
    <n v="1959"/>
    <n v="347"/>
    <n v="472"/>
    <n v="57437"/>
    <n v="58770"/>
    <m/>
    <m/>
    <m/>
    <m/>
    <m/>
    <m/>
    <m/>
    <m/>
    <n v="0"/>
    <n v="0"/>
    <n v="0"/>
    <n v="0"/>
    <m/>
    <m/>
    <n v="0"/>
    <n v="0"/>
    <m/>
    <m/>
    <m/>
    <m/>
    <m/>
    <m/>
    <m/>
    <m/>
    <n v="0"/>
    <n v="0"/>
    <n v="0"/>
    <n v="0"/>
    <n v="1914.5666666666666"/>
    <n v="1959"/>
  </r>
  <r>
    <x v="4"/>
    <s v="Waycross College "/>
    <m/>
    <n v="141307"/>
    <x v="8"/>
    <s v="sem"/>
    <s v="sem"/>
    <m/>
    <m/>
    <n v="11128"/>
    <n v="10389"/>
    <n v="4720"/>
    <n v="3317"/>
    <n v="10688"/>
    <n v="9159"/>
    <n v="26536"/>
    <n v="884.5333333333333"/>
    <n v="22865"/>
    <n v="762.16666666666663"/>
    <n v="1047"/>
    <n v="1091"/>
    <n v="26536"/>
    <n v="22865"/>
    <m/>
    <m/>
    <m/>
    <m/>
    <m/>
    <m/>
    <m/>
    <m/>
    <n v="0"/>
    <n v="0"/>
    <n v="0"/>
    <n v="0"/>
    <m/>
    <m/>
    <n v="0"/>
    <n v="0"/>
    <m/>
    <m/>
    <m/>
    <m/>
    <m/>
    <m/>
    <m/>
    <m/>
    <n v="0"/>
    <n v="0"/>
    <n v="0"/>
    <n v="0"/>
    <n v="884.5333333333333"/>
    <n v="762.16666666666663"/>
  </r>
  <r>
    <x v="4"/>
    <s v="Albany Technical College"/>
    <m/>
    <n v="138682"/>
    <x v="9"/>
    <s v="sem"/>
    <s v="sem"/>
    <n v="33547.010600000001"/>
    <n v="37569.199999999997"/>
    <n v="34167.708299999998"/>
    <n v="35802.5"/>
    <n v="30838.208499999997"/>
    <n v="32995"/>
    <n v="37792.556199999999"/>
    <n v="51561"/>
    <n v="136345.48360000001"/>
    <n v="4544.8494533333333"/>
    <n v="157927.70000000001"/>
    <n v="5264.2566666666671"/>
    <n v="452"/>
    <n v="323"/>
    <n v="136345.48360000001"/>
    <n v="157927.70000000001"/>
    <m/>
    <m/>
    <m/>
    <m/>
    <m/>
    <m/>
    <m/>
    <m/>
    <n v="0"/>
    <n v="0"/>
    <n v="0"/>
    <n v="0"/>
    <m/>
    <m/>
    <n v="0"/>
    <n v="0"/>
    <m/>
    <m/>
    <m/>
    <m/>
    <m/>
    <m/>
    <m/>
    <m/>
    <n v="0"/>
    <n v="0"/>
    <n v="0"/>
    <n v="0"/>
    <n v="4544.8494533333333"/>
    <n v="5264.2566666666671"/>
  </r>
  <r>
    <x v="4"/>
    <s v="Altamaha Technical College"/>
    <m/>
    <n v="366447"/>
    <x v="9"/>
    <s v="sem"/>
    <s v="sem"/>
    <n v="11147.8907"/>
    <n v="10602.2"/>
    <n v="10527.859699999999"/>
    <n v="10098.200000000001"/>
    <n v="8702.4350999999988"/>
    <n v="3622.2"/>
    <n v="12093.271299999999"/>
    <n v="12784"/>
    <n v="42471.456799999993"/>
    <n v="1415.7152266666665"/>
    <n v="37106.600000000006"/>
    <n v="1236.8866666666668"/>
    <n v="3288"/>
    <n v="1507.1"/>
    <n v="42471.456799999993"/>
    <n v="37106.600000000006"/>
    <m/>
    <m/>
    <m/>
    <m/>
    <m/>
    <m/>
    <m/>
    <m/>
    <n v="0"/>
    <n v="0"/>
    <n v="0"/>
    <n v="0"/>
    <m/>
    <m/>
    <n v="0"/>
    <n v="0"/>
    <m/>
    <m/>
    <m/>
    <m/>
    <m/>
    <m/>
    <m/>
    <m/>
    <n v="0"/>
    <n v="0"/>
    <n v="0"/>
    <n v="0"/>
    <n v="1415.7152266666665"/>
    <n v="1236.8866666666668"/>
  </r>
  <r>
    <x v="4"/>
    <s v="Athens Technical College"/>
    <m/>
    <n v="246813"/>
    <x v="9"/>
    <s v="sem"/>
    <s v="sem"/>
    <n v="34402.386699999995"/>
    <n v="36279.1"/>
    <n v="32594.296299999998"/>
    <n v="33147"/>
    <n v="21445.7389"/>
    <n v="12104.6"/>
    <n v="38871.943500000001"/>
    <n v="43959"/>
    <n v="127314.36539999998"/>
    <n v="4243.812179999999"/>
    <n v="125489.70000000001"/>
    <n v="4182.9900000000007"/>
    <n v="1109"/>
    <n v="962"/>
    <n v="127314.36539999998"/>
    <n v="125489.70000000001"/>
    <m/>
    <m/>
    <m/>
    <m/>
    <m/>
    <m/>
    <m/>
    <m/>
    <n v="0"/>
    <n v="0"/>
    <n v="0"/>
    <n v="0"/>
    <m/>
    <m/>
    <n v="0"/>
    <n v="0"/>
    <m/>
    <m/>
    <m/>
    <m/>
    <m/>
    <m/>
    <m/>
    <m/>
    <n v="0"/>
    <n v="0"/>
    <n v="0"/>
    <n v="0"/>
    <n v="4243.812179999999"/>
    <n v="4182.9900000000007"/>
  </r>
  <r>
    <x v="4"/>
    <s v="Atlanta Technical College"/>
    <m/>
    <n v="138840"/>
    <x v="9"/>
    <s v="sem"/>
    <s v="sem"/>
    <n v="37775.888699999996"/>
    <n v="36866.5"/>
    <n v="37771.888500000001"/>
    <n v="36451.199999999997"/>
    <n v="31954.264299999999"/>
    <n v="25381.9"/>
    <n v="38652.599199999997"/>
    <n v="40562"/>
    <n v="146154.64069999999"/>
    <n v="4871.8213566666664"/>
    <n v="139261.6"/>
    <n v="4642.0533333333333"/>
    <n v="2329"/>
    <n v="1877.3"/>
    <n v="146154.64069999999"/>
    <n v="139261.6"/>
    <m/>
    <m/>
    <m/>
    <m/>
    <m/>
    <m/>
    <m/>
    <m/>
    <n v="0"/>
    <n v="0"/>
    <n v="0"/>
    <n v="0"/>
    <m/>
    <m/>
    <n v="0"/>
    <n v="0"/>
    <m/>
    <m/>
    <m/>
    <m/>
    <m/>
    <m/>
    <m/>
    <m/>
    <n v="0"/>
    <n v="0"/>
    <n v="0"/>
    <n v="0"/>
    <n v="4871.8213566666664"/>
    <n v="4642.0533333333333"/>
  </r>
  <r>
    <x v="4"/>
    <s v="Augusta Technical College"/>
    <m/>
    <n v="138956"/>
    <x v="9"/>
    <s v="sem"/>
    <s v="sem"/>
    <n v="33486.340899999996"/>
    <n v="33722.400000000001"/>
    <n v="31612.9139"/>
    <n v="31324.2"/>
    <n v="25719.952599999997"/>
    <n v="12452.6"/>
    <n v="38543.927100000001"/>
    <n v="41669"/>
    <n v="129363.13449999999"/>
    <n v="4312.1044833333326"/>
    <n v="119168.20000000001"/>
    <n v="3972.2733333333335"/>
    <n v="1611"/>
    <n v="1048.0999999999999"/>
    <n v="129363.13449999999"/>
    <n v="119168.20000000001"/>
    <m/>
    <m/>
    <m/>
    <m/>
    <m/>
    <m/>
    <m/>
    <m/>
    <n v="0"/>
    <n v="0"/>
    <n v="0"/>
    <n v="0"/>
    <m/>
    <m/>
    <n v="0"/>
    <n v="0"/>
    <m/>
    <m/>
    <m/>
    <m/>
    <m/>
    <m/>
    <m/>
    <m/>
    <n v="0"/>
    <n v="0"/>
    <n v="0"/>
    <n v="0"/>
    <n v="4312.1044833333326"/>
    <n v="3972.2733333333335"/>
  </r>
  <r>
    <x v="4"/>
    <s v="Central Georgia Technical College"/>
    <m/>
    <n v="140304"/>
    <x v="9"/>
    <s v="sem"/>
    <s v="sem"/>
    <n v="52015.933999999994"/>
    <n v="54020"/>
    <n v="49473.140199999994"/>
    <n v="48719.1"/>
    <n v="43476.840400000001"/>
    <n v="23905.200000000001"/>
    <n v="60434.354899999998"/>
    <n v="58448"/>
    <n v="205400.26949999999"/>
    <n v="6846.6756500000001"/>
    <n v="185092.3"/>
    <n v="6169.7433333333329"/>
    <n v="3264"/>
    <n v="2248"/>
    <n v="205400.26949999999"/>
    <n v="185092.3"/>
    <m/>
    <m/>
    <m/>
    <m/>
    <m/>
    <m/>
    <m/>
    <m/>
    <n v="0"/>
    <n v="0"/>
    <n v="0"/>
    <n v="0"/>
    <m/>
    <m/>
    <n v="0"/>
    <n v="0"/>
    <m/>
    <m/>
    <m/>
    <m/>
    <m/>
    <m/>
    <m/>
    <m/>
    <n v="0"/>
    <n v="0"/>
    <n v="0"/>
    <n v="0"/>
    <n v="6846.6756500000001"/>
    <n v="6169.7433333333329"/>
  </r>
  <r>
    <x v="4"/>
    <s v="Chattahoochee Technical College"/>
    <m/>
    <n v="140331"/>
    <x v="9"/>
    <s v="sem"/>
    <s v="sem"/>
    <n v="79721.319199999998"/>
    <n v="91757.3"/>
    <n v="81272.063399999999"/>
    <n v="85064.9"/>
    <n v="61834.424899999998"/>
    <n v="32122.3"/>
    <n v="96390.152600000001"/>
    <n v="99754"/>
    <n v="319217.96010000003"/>
    <n v="10640.598670000001"/>
    <n v="308698.5"/>
    <n v="10289.950000000001"/>
    <n v="2290"/>
    <n v="2195.4"/>
    <n v="319217.96010000003"/>
    <n v="308698.5"/>
    <m/>
    <m/>
    <m/>
    <m/>
    <m/>
    <m/>
    <m/>
    <m/>
    <n v="0"/>
    <n v="0"/>
    <n v="0"/>
    <n v="0"/>
    <m/>
    <m/>
    <n v="0"/>
    <n v="0"/>
    <m/>
    <m/>
    <m/>
    <m/>
    <m/>
    <m/>
    <m/>
    <m/>
    <n v="0"/>
    <n v="0"/>
    <n v="0"/>
    <n v="0"/>
    <n v="10640.598670000001"/>
    <n v="10289.950000000001"/>
  </r>
  <r>
    <x v="4"/>
    <s v="Columbus Technical College"/>
    <m/>
    <n v="139357"/>
    <x v="9"/>
    <s v="sem"/>
    <s v="sem"/>
    <n v="26607.330299999998"/>
    <n v="27443.4"/>
    <n v="25703.951799999999"/>
    <n v="26314.6"/>
    <n v="20734.37"/>
    <n v="7903.1"/>
    <n v="29527.476299999998"/>
    <n v="33611"/>
    <n v="102573.12839999999"/>
    <n v="3419.1042799999996"/>
    <n v="95272.1"/>
    <n v="3175.7366666666667"/>
    <n v="2653.3"/>
    <n v="1924.5"/>
    <n v="102573.12839999999"/>
    <n v="95272.1"/>
    <m/>
    <m/>
    <m/>
    <m/>
    <m/>
    <m/>
    <m/>
    <m/>
    <n v="0"/>
    <n v="0"/>
    <n v="0"/>
    <n v="0"/>
    <m/>
    <m/>
    <n v="0"/>
    <n v="0"/>
    <m/>
    <m/>
    <m/>
    <m/>
    <m/>
    <m/>
    <m/>
    <m/>
    <n v="0"/>
    <n v="0"/>
    <n v="0"/>
    <n v="0"/>
    <n v="3419.1042799999996"/>
    <n v="3175.7366666666667"/>
  </r>
  <r>
    <x v="4"/>
    <s v="Georgia Northwestern Technical College"/>
    <m/>
    <n v="139384"/>
    <x v="9"/>
    <s v="sem"/>
    <s v="sem"/>
    <n v="44979.582199999997"/>
    <n v="48301.1"/>
    <n v="43988.1993"/>
    <n v="45131.6"/>
    <n v="35226.427899999995"/>
    <n v="21635.1"/>
    <n v="50874.543599999997"/>
    <n v="59364"/>
    <n v="175068.753"/>
    <n v="5835.6251000000002"/>
    <n v="174431.8"/>
    <n v="5814.3933333333325"/>
    <n v="5541"/>
    <n v="4173.8"/>
    <n v="175068.753"/>
    <n v="174431.8"/>
    <m/>
    <m/>
    <m/>
    <m/>
    <m/>
    <m/>
    <m/>
    <m/>
    <n v="0"/>
    <n v="0"/>
    <n v="0"/>
    <n v="0"/>
    <m/>
    <m/>
    <n v="0"/>
    <n v="0"/>
    <m/>
    <m/>
    <m/>
    <m/>
    <m/>
    <m/>
    <m/>
    <m/>
    <n v="0"/>
    <n v="0"/>
    <n v="0"/>
    <n v="0"/>
    <n v="5835.6251000000002"/>
    <n v="5814.3933333333325"/>
  </r>
  <r>
    <x v="4"/>
    <s v="Georgia Piedmont Technical College"/>
    <s v="Formerly DeKalb Technical College."/>
    <n v="244446"/>
    <x v="9"/>
    <s v="sem"/>
    <s v="sem"/>
    <n v="35567.778299999998"/>
    <n v="36192.5"/>
    <n v="34705.735199999996"/>
    <n v="34126.400000000001"/>
    <n v="27517.375799999998"/>
    <n v="13138"/>
    <n v="35634.448299999996"/>
    <n v="35883"/>
    <n v="133425.3376"/>
    <n v="4447.5112533333331"/>
    <n v="119339.9"/>
    <n v="3977.9966666666664"/>
    <n v="1220.0999999999999"/>
    <n v="1191.4000000000001"/>
    <n v="133425.3376"/>
    <n v="119339.9"/>
    <m/>
    <m/>
    <m/>
    <m/>
    <m/>
    <m/>
    <m/>
    <m/>
    <n v="0"/>
    <n v="0"/>
    <n v="0"/>
    <n v="0"/>
    <m/>
    <m/>
    <n v="0"/>
    <n v="0"/>
    <m/>
    <m/>
    <m/>
    <m/>
    <m/>
    <m/>
    <m/>
    <m/>
    <n v="0"/>
    <n v="0"/>
    <n v="0"/>
    <n v="0"/>
    <n v="4447.5112533333331"/>
    <n v="3977.9966666666664"/>
  </r>
  <r>
    <x v="4"/>
    <s v="Gwinnett Technical College"/>
    <m/>
    <n v="140012"/>
    <x v="9"/>
    <s v="sem"/>
    <s v="sem"/>
    <n v="47017.684099999999"/>
    <n v="49573.8"/>
    <n v="47253.695899999999"/>
    <n v="47859.1"/>
    <n v="33377.002099999998"/>
    <n v="17142.900000000001"/>
    <n v="51227.227899999998"/>
    <n v="58997"/>
    <n v="178875.61"/>
    <n v="5962.5203333333329"/>
    <n v="173572.8"/>
    <n v="5785.7599999999993"/>
    <n v="578"/>
    <n v="1122.7"/>
    <n v="178875.61"/>
    <n v="173572.8"/>
    <m/>
    <m/>
    <m/>
    <m/>
    <m/>
    <m/>
    <m/>
    <m/>
    <n v="0"/>
    <n v="0"/>
    <n v="0"/>
    <n v="0"/>
    <m/>
    <m/>
    <n v="0"/>
    <n v="0"/>
    <m/>
    <m/>
    <m/>
    <m/>
    <m/>
    <m/>
    <m/>
    <m/>
    <n v="0"/>
    <n v="0"/>
    <n v="0"/>
    <n v="0"/>
    <n v="5962.5203333333329"/>
    <n v="5785.7599999999993"/>
  </r>
  <r>
    <x v="4"/>
    <s v="Lanier Technical College"/>
    <m/>
    <n v="140243"/>
    <x v="9"/>
    <s v="sem"/>
    <s v="sem"/>
    <n v="28524.092799999999"/>
    <n v="28683.4"/>
    <n v="27641.381999999998"/>
    <n v="25922"/>
    <n v="22991.816199999997"/>
    <n v="8443.1"/>
    <n v="30493.524599999997"/>
    <n v="29904"/>
    <n v="109650.8156"/>
    <n v="3655.0271866666667"/>
    <n v="92952.5"/>
    <n v="3098.4166666666665"/>
    <n v="2281"/>
    <n v="1555"/>
    <n v="109650.8156"/>
    <n v="92952.5"/>
    <m/>
    <m/>
    <m/>
    <m/>
    <m/>
    <m/>
    <m/>
    <m/>
    <n v="0"/>
    <n v="0"/>
    <n v="0"/>
    <n v="0"/>
    <m/>
    <m/>
    <n v="0"/>
    <n v="0"/>
    <m/>
    <m/>
    <m/>
    <m/>
    <m/>
    <m/>
    <m/>
    <m/>
    <n v="0"/>
    <n v="0"/>
    <n v="0"/>
    <n v="0"/>
    <n v="3655.0271866666667"/>
    <n v="3098.4166666666665"/>
  </r>
  <r>
    <x v="4"/>
    <s v="Middle Georgia Technical College"/>
    <m/>
    <n v="140085"/>
    <x v="9"/>
    <s v="sem"/>
    <s v="sem"/>
    <n v="29330.799799999997"/>
    <n v="33682.400000000001"/>
    <n v="27260.6963"/>
    <n v="29323.5"/>
    <n v="26774.005299999997"/>
    <n v="11001.2"/>
    <n v="34443.722099999999"/>
    <n v="36611"/>
    <n v="117809.22349999999"/>
    <n v="3926.9741166666663"/>
    <n v="110618.1"/>
    <n v="3687.27"/>
    <n v="6833"/>
    <n v="4122.3999999999996"/>
    <n v="117809.22349999999"/>
    <n v="110618.1"/>
    <m/>
    <m/>
    <m/>
    <m/>
    <m/>
    <m/>
    <m/>
    <m/>
    <n v="0"/>
    <n v="0"/>
    <n v="0"/>
    <n v="0"/>
    <m/>
    <m/>
    <n v="0"/>
    <n v="0"/>
    <m/>
    <m/>
    <m/>
    <m/>
    <m/>
    <m/>
    <m/>
    <m/>
    <n v="0"/>
    <n v="0"/>
    <n v="0"/>
    <n v="0"/>
    <n v="3926.9741166666663"/>
    <n v="3687.27"/>
  </r>
  <r>
    <x v="4"/>
    <s v="Moultrie Technical College"/>
    <m/>
    <n v="140599"/>
    <x v="9"/>
    <s v="sem"/>
    <s v="sem"/>
    <n v="18257.5795"/>
    <n v="19075.599999999999"/>
    <n v="17093.5213"/>
    <n v="16884.8"/>
    <n v="15706.1186"/>
    <n v="7234.4"/>
    <n v="19635.648399999998"/>
    <n v="21431"/>
    <n v="70692.867800000007"/>
    <n v="2356.4289266666669"/>
    <n v="64625.799999999996"/>
    <n v="2154.1933333333332"/>
    <n v="6471"/>
    <n v="4135.8"/>
    <n v="70692.867800000007"/>
    <n v="64625.799999999996"/>
    <m/>
    <m/>
    <m/>
    <m/>
    <m/>
    <m/>
    <m/>
    <m/>
    <n v="0"/>
    <n v="0"/>
    <n v="0"/>
    <n v="0"/>
    <m/>
    <m/>
    <n v="0"/>
    <n v="0"/>
    <m/>
    <m/>
    <m/>
    <m/>
    <m/>
    <m/>
    <m/>
    <m/>
    <n v="0"/>
    <n v="0"/>
    <n v="0"/>
    <n v="0"/>
    <n v="2356.4289266666669"/>
    <n v="2154.1933333333332"/>
  </r>
  <r>
    <x v="4"/>
    <s v="North Georgia Technical College"/>
    <m/>
    <n v="140678"/>
    <x v="9"/>
    <s v="sem"/>
    <s v="sem"/>
    <n v="22767.805"/>
    <n v="20626.400000000001"/>
    <n v="21553.744299999998"/>
    <n v="18672.900000000001"/>
    <n v="17196.1931"/>
    <n v="7467"/>
    <n v="22905.811899999997"/>
    <n v="25494"/>
    <n v="84423.554300000003"/>
    <n v="2814.118476666667"/>
    <n v="72260.3"/>
    <n v="2408.6766666666667"/>
    <n v="698.5"/>
    <n v="480"/>
    <n v="84423.554300000003"/>
    <n v="72260.3"/>
    <m/>
    <m/>
    <m/>
    <m/>
    <m/>
    <m/>
    <m/>
    <m/>
    <n v="0"/>
    <n v="0"/>
    <n v="0"/>
    <n v="0"/>
    <m/>
    <m/>
    <n v="0"/>
    <n v="0"/>
    <m/>
    <m/>
    <m/>
    <m/>
    <m/>
    <m/>
    <m/>
    <m/>
    <n v="0"/>
    <n v="0"/>
    <n v="0"/>
    <n v="0"/>
    <n v="2814.118476666667"/>
    <n v="2408.6766666666667"/>
  </r>
  <r>
    <x v="4"/>
    <s v="Ogeechee Technical College"/>
    <m/>
    <n v="366465"/>
    <x v="9"/>
    <s v="sem"/>
    <s v="sem"/>
    <n v="18244.245499999997"/>
    <n v="21376.400000000001"/>
    <n v="17638.8819"/>
    <n v="20006.3"/>
    <n v="15686.784299999999"/>
    <n v="8146.4"/>
    <n v="21958.431199999999"/>
    <n v="21912"/>
    <n v="73528.342899999989"/>
    <n v="2450.944763333333"/>
    <n v="71441.100000000006"/>
    <n v="2381.3700000000003"/>
    <n v="1717"/>
    <n v="1225.3"/>
    <n v="73528.342899999989"/>
    <n v="71441.100000000006"/>
    <m/>
    <m/>
    <m/>
    <m/>
    <m/>
    <m/>
    <m/>
    <m/>
    <n v="0"/>
    <n v="0"/>
    <n v="0"/>
    <n v="0"/>
    <m/>
    <m/>
    <n v="0"/>
    <n v="0"/>
    <m/>
    <m/>
    <m/>
    <m/>
    <m/>
    <m/>
    <m/>
    <m/>
    <n v="0"/>
    <n v="0"/>
    <n v="0"/>
    <n v="0"/>
    <n v="2450.944763333333"/>
    <n v="2381.3700000000003"/>
  </r>
  <r>
    <x v="4"/>
    <s v="Okefenokee Technical College"/>
    <m/>
    <n v="248776"/>
    <x v="9"/>
    <s v="sem"/>
    <s v="sem"/>
    <n v="11126.889649999999"/>
    <n v="10321.799999999999"/>
    <n v="10321.849399999999"/>
    <n v="9388.1"/>
    <n v="9058.4529000000002"/>
    <n v="3592.8"/>
    <n v="11818.590899999999"/>
    <n v="12025"/>
    <n v="42325.782849999996"/>
    <n v="1410.8594283333332"/>
    <n v="35327.699999999997"/>
    <n v="1177.5899999999999"/>
    <n v="1662.5"/>
    <n v="1054.7"/>
    <n v="42325.782849999996"/>
    <n v="35327.699999999997"/>
    <m/>
    <m/>
    <m/>
    <m/>
    <m/>
    <m/>
    <m/>
    <m/>
    <n v="0"/>
    <n v="0"/>
    <n v="0"/>
    <n v="0"/>
    <m/>
    <m/>
    <n v="0"/>
    <n v="0"/>
    <m/>
    <m/>
    <m/>
    <m/>
    <m/>
    <m/>
    <m/>
    <m/>
    <n v="0"/>
    <n v="0"/>
    <n v="0"/>
    <n v="0"/>
    <n v="1410.8594283333332"/>
    <n v="1177.5899999999999"/>
  </r>
  <r>
    <x v="4"/>
    <s v="Savannah Technical College"/>
    <m/>
    <n v="140942"/>
    <x v="9"/>
    <s v="sem"/>
    <s v="sem"/>
    <n v="38177.242099999996"/>
    <n v="37717.9"/>
    <n v="36391.152799999996"/>
    <n v="34802.400000000001"/>
    <n v="30190.176099999997"/>
    <n v="21076.400000000001"/>
    <n v="41410.070399999997"/>
    <n v="42060"/>
    <n v="146168.64139999996"/>
    <n v="4872.2880466666657"/>
    <n v="135656.70000000001"/>
    <n v="4521.8900000000003"/>
    <n v="2961"/>
    <n v="2322.1"/>
    <n v="146168.64139999996"/>
    <n v="135656.70000000001"/>
    <m/>
    <m/>
    <m/>
    <m/>
    <m/>
    <m/>
    <m/>
    <m/>
    <n v="0"/>
    <n v="0"/>
    <n v="0"/>
    <n v="0"/>
    <m/>
    <m/>
    <n v="0"/>
    <n v="0"/>
    <m/>
    <m/>
    <m/>
    <m/>
    <m/>
    <m/>
    <m/>
    <m/>
    <n v="0"/>
    <n v="0"/>
    <n v="0"/>
    <n v="0"/>
    <n v="4872.2880466666657"/>
    <n v="4521.8900000000003"/>
  </r>
  <r>
    <x v="4"/>
    <s v="South Georgia Technical College"/>
    <m/>
    <n v="141006"/>
    <x v="9"/>
    <s v="sem"/>
    <s v="sem"/>
    <n v="20985.715899999999"/>
    <n v="20734.400000000001"/>
    <n v="19985.6659"/>
    <n v="19875.7"/>
    <n v="18392.919599999997"/>
    <n v="8747.1"/>
    <n v="21639.748599999999"/>
    <n v="23652"/>
    <n v="81004.049999999988"/>
    <n v="2700.1349999999998"/>
    <n v="73009.200000000012"/>
    <n v="2433.6400000000003"/>
    <n v="2302"/>
    <n v="1468.4"/>
    <n v="81004.049999999988"/>
    <n v="73009.200000000012"/>
    <m/>
    <m/>
    <m/>
    <m/>
    <m/>
    <m/>
    <m/>
    <m/>
    <n v="0"/>
    <n v="0"/>
    <n v="0"/>
    <n v="0"/>
    <m/>
    <m/>
    <n v="0"/>
    <n v="0"/>
    <m/>
    <m/>
    <m/>
    <m/>
    <m/>
    <m/>
    <m/>
    <m/>
    <n v="0"/>
    <n v="0"/>
    <n v="0"/>
    <n v="0"/>
    <n v="2700.1349999999998"/>
    <n v="2433.6400000000003"/>
  </r>
  <r>
    <x v="4"/>
    <s v="Southeastern Technical College"/>
    <m/>
    <n v="368911"/>
    <x v="9"/>
    <s v="sem"/>
    <s v="sem"/>
    <n v="13370.6685"/>
    <n v="12954"/>
    <n v="12611.297199999999"/>
    <n v="12408"/>
    <n v="11233.228299999999"/>
    <n v="4332.2"/>
    <n v="14613.397299999999"/>
    <n v="16303"/>
    <n v="51828.5913"/>
    <n v="1727.6197099999999"/>
    <n v="45997.2"/>
    <n v="1533.24"/>
    <n v="3495"/>
    <n v="2133.6999999999998"/>
    <n v="51828.5913"/>
    <n v="45997.2"/>
    <m/>
    <m/>
    <m/>
    <m/>
    <m/>
    <m/>
    <m/>
    <m/>
    <n v="0"/>
    <n v="0"/>
    <n v="0"/>
    <n v="0"/>
    <m/>
    <m/>
    <n v="0"/>
    <n v="0"/>
    <m/>
    <m/>
    <m/>
    <m/>
    <m/>
    <m/>
    <m/>
    <m/>
    <n v="0"/>
    <n v="0"/>
    <n v="0"/>
    <n v="0"/>
    <n v="1727.6197099999999"/>
    <n v="1533.24"/>
  </r>
  <r>
    <x v="4"/>
    <s v="Southern Crescent Technical College"/>
    <m/>
    <n v="139986"/>
    <x v="9"/>
    <s v="sem"/>
    <s v="sem"/>
    <n v="45760.487909999996"/>
    <n v="41650.300000000003"/>
    <n v="42853.742579999998"/>
    <n v="38802.800000000003"/>
    <n v="35607.446949999998"/>
    <n v="15218.8"/>
    <n v="46607.996950000001"/>
    <n v="48389"/>
    <n v="170829.67439"/>
    <n v="5694.3224796666664"/>
    <n v="144060.90000000002"/>
    <n v="4802.0300000000007"/>
    <m/>
    <n v="1473.7"/>
    <n v="0"/>
    <n v="144060.90000000002"/>
    <m/>
    <m/>
    <m/>
    <m/>
    <m/>
    <m/>
    <m/>
    <m/>
    <n v="0"/>
    <n v="0"/>
    <n v="0"/>
    <n v="0"/>
    <m/>
    <m/>
    <n v="0"/>
    <n v="0"/>
    <m/>
    <m/>
    <m/>
    <m/>
    <m/>
    <m/>
    <m/>
    <m/>
    <n v="0"/>
    <n v="0"/>
    <n v="0"/>
    <n v="0"/>
    <n v="5694.3224796666664"/>
    <n v="4802.0300000000007"/>
  </r>
  <r>
    <x v="4"/>
    <s v="Southwest Georgia Technical College"/>
    <m/>
    <n v="141158"/>
    <x v="9"/>
    <s v="sem"/>
    <s v="sem"/>
    <n v="11052.21925"/>
    <n v="11118.6"/>
    <n v="10481.190699999999"/>
    <n v="9766.5"/>
    <n v="8995.7830999999987"/>
    <n v="4271.2"/>
    <n v="11521.909399999999"/>
    <n v="14739"/>
    <n v="42051.102449999998"/>
    <n v="1401.7034149999999"/>
    <n v="39895.300000000003"/>
    <n v="1329.8433333333335"/>
    <n v="3092.5"/>
    <n v="2535.6999999999998"/>
    <n v="42051.102449999998"/>
    <n v="39895.300000000003"/>
    <m/>
    <m/>
    <m/>
    <m/>
    <m/>
    <m/>
    <m/>
    <m/>
    <n v="0"/>
    <n v="0"/>
    <n v="0"/>
    <n v="0"/>
    <m/>
    <m/>
    <n v="0"/>
    <n v="0"/>
    <m/>
    <m/>
    <m/>
    <m/>
    <m/>
    <m/>
    <m/>
    <m/>
    <n v="0"/>
    <n v="0"/>
    <n v="0"/>
    <n v="0"/>
    <n v="1401.7034149999999"/>
    <n v="1329.8433333333335"/>
  </r>
  <r>
    <x v="4"/>
    <s v="West Georgia Technical College"/>
    <m/>
    <n v="139278"/>
    <x v="9"/>
    <s v="sem"/>
    <s v="sem"/>
    <n v="49156.457699999999"/>
    <n v="51884.6"/>
    <n v="45675.616999999998"/>
    <n v="48082.400000000001"/>
    <n v="34583.729099999997"/>
    <n v="19157"/>
    <n v="55429.437999999995"/>
    <n v="62486"/>
    <n v="184845.24179999999"/>
    <n v="6161.5080599999992"/>
    <n v="181610"/>
    <n v="6053.666666666667"/>
    <n v="11431"/>
    <n v="6574.8"/>
    <n v="184845.24179999999"/>
    <n v="181610"/>
    <m/>
    <m/>
    <m/>
    <m/>
    <m/>
    <m/>
    <m/>
    <m/>
    <n v="0"/>
    <n v="0"/>
    <n v="0"/>
    <n v="0"/>
    <m/>
    <m/>
    <n v="0"/>
    <n v="0"/>
    <m/>
    <m/>
    <m/>
    <m/>
    <m/>
    <m/>
    <m/>
    <m/>
    <n v="0"/>
    <n v="0"/>
    <n v="0"/>
    <n v="0"/>
    <n v="6161.5080599999992"/>
    <n v="6053.666666666667"/>
  </r>
  <r>
    <x v="4"/>
    <s v="Wiregrass Georgia Technical College"/>
    <m/>
    <n v="141255"/>
    <x v="9"/>
    <s v="sem"/>
    <s v="sem"/>
    <n v="39643.982100000001"/>
    <n v="39835.300000000003"/>
    <n v="36861.843000000001"/>
    <n v="37235.199999999997"/>
    <n v="32686.300899999998"/>
    <n v="16354.2"/>
    <n v="40730.703099999999"/>
    <n v="44327"/>
    <n v="149922.8291"/>
    <n v="4997.4276366666663"/>
    <n v="137751.70000000001"/>
    <n v="4591.7233333333334"/>
    <m/>
    <n v="2909.8"/>
    <n v="0"/>
    <n v="137751.70000000001"/>
    <m/>
    <m/>
    <m/>
    <m/>
    <m/>
    <m/>
    <m/>
    <m/>
    <n v="0"/>
    <n v="0"/>
    <n v="0"/>
    <n v="0"/>
    <m/>
    <m/>
    <n v="0"/>
    <n v="0"/>
    <m/>
    <m/>
    <m/>
    <m/>
    <m/>
    <m/>
    <m/>
    <m/>
    <n v="0"/>
    <n v="0"/>
    <n v="0"/>
    <n v="0"/>
    <n v="4997.4276366666663"/>
    <n v="4591.7233333333334"/>
  </r>
  <r>
    <x v="4"/>
    <s v="Oconee Fall Line Technical College"/>
    <s v="Is the merger of Heart of Georgia Tech and Sandersville Tech"/>
    <n v="420431"/>
    <x v="9"/>
    <s v="sem"/>
    <s v="sem"/>
    <n v="17998.8999"/>
    <n v="18479.5"/>
    <n v="17064.1865"/>
    <n v="16510.800000000003"/>
    <n v="16176.142099999999"/>
    <n v="8010"/>
    <n v="19020.284299999999"/>
    <n v="16677"/>
    <n v="70259.512799999997"/>
    <n v="2341.9837600000001"/>
    <n v="59677.3"/>
    <n v="1989.2433333333333"/>
    <n v="8551"/>
    <n v="2730.8"/>
    <n v="70259.512799999997"/>
    <n v="59677.3"/>
    <m/>
    <m/>
    <m/>
    <m/>
    <m/>
    <m/>
    <m/>
    <m/>
    <n v="0"/>
    <n v="0"/>
    <n v="0"/>
    <n v="0"/>
    <m/>
    <m/>
    <n v="0"/>
    <n v="0"/>
    <m/>
    <m/>
    <m/>
    <m/>
    <m/>
    <m/>
    <m/>
    <m/>
    <n v="0"/>
    <n v="0"/>
    <n v="0"/>
    <n v="0"/>
    <n v="2341.9837600000001"/>
    <n v="1989.2433333333333"/>
  </r>
  <r>
    <x v="5"/>
    <s v="University of Kentucky"/>
    <m/>
    <n v="157085"/>
    <x v="0"/>
    <s v="sem"/>
    <s v="sem"/>
    <m/>
    <m/>
    <n v="242842"/>
    <n v="250747"/>
    <n v="25898"/>
    <n v="28605"/>
    <n v="271185"/>
    <n v="276434"/>
    <n v="539925"/>
    <n v="17997.5"/>
    <n v="555786"/>
    <n v="18526.2"/>
    <n v="24"/>
    <n v="47"/>
    <n v="539925"/>
    <n v="555786"/>
    <m/>
    <m/>
    <m/>
    <m/>
    <m/>
    <m/>
    <m/>
    <m/>
    <n v="0"/>
    <n v="0"/>
    <n v="0"/>
    <n v="0"/>
    <m/>
    <m/>
    <n v="0"/>
    <n v="0"/>
    <m/>
    <m/>
    <n v="37277"/>
    <n v="37914"/>
    <n v="5748"/>
    <n v="5855"/>
    <n v="41012"/>
    <n v="40854"/>
    <n v="84037"/>
    <n v="3501.5416666666665"/>
    <n v="84623"/>
    <n v="3525.9583333333335"/>
    <n v="21499.041666666668"/>
    <n v="22052.158333333333"/>
  </r>
  <r>
    <x v="5"/>
    <s v="University of Louisville"/>
    <m/>
    <n v="157289"/>
    <x v="0"/>
    <s v="sem"/>
    <s v="sem"/>
    <m/>
    <m/>
    <n v="171347.5"/>
    <n v="173103"/>
    <n v="35566"/>
    <n v="35687"/>
    <n v="186984"/>
    <n v="188398"/>
    <n v="393897.5"/>
    <n v="13129.916666666666"/>
    <n v="397188"/>
    <n v="13239.6"/>
    <n v="1067"/>
    <n v="1282"/>
    <n v="393897.5"/>
    <n v="397188"/>
    <m/>
    <m/>
    <m/>
    <m/>
    <m/>
    <m/>
    <m/>
    <m/>
    <n v="0"/>
    <n v="0"/>
    <n v="0"/>
    <n v="0"/>
    <m/>
    <m/>
    <n v="0"/>
    <n v="0"/>
    <m/>
    <m/>
    <n v="33639"/>
    <n v="33803"/>
    <n v="11896"/>
    <n v="11944"/>
    <n v="34870"/>
    <n v="33454"/>
    <n v="80405"/>
    <n v="3350.2083333333335"/>
    <n v="79201"/>
    <n v="3300.0416666666665"/>
    <n v="16480.125"/>
    <n v="16539.641666666666"/>
  </r>
  <r>
    <x v="5"/>
    <s v="Eastern Kentucky University "/>
    <m/>
    <n v="156620"/>
    <x v="2"/>
    <s v="sem"/>
    <s v="sem"/>
    <m/>
    <m/>
    <n v="170928.5"/>
    <n v="167687"/>
    <n v="24466"/>
    <n v="22324"/>
    <n v="185843"/>
    <n v="176487"/>
    <n v="381237.5"/>
    <n v="12707.916666666666"/>
    <n v="366498"/>
    <n v="12216.6"/>
    <n v="2741"/>
    <n v="2863"/>
    <n v="381237.5"/>
    <n v="366498"/>
    <m/>
    <m/>
    <m/>
    <m/>
    <m/>
    <m/>
    <m/>
    <m/>
    <n v="0"/>
    <n v="0"/>
    <n v="0"/>
    <n v="0"/>
    <m/>
    <m/>
    <n v="0"/>
    <n v="0"/>
    <m/>
    <m/>
    <n v="14603"/>
    <n v="1499"/>
    <n v="8696"/>
    <n v="9028"/>
    <n v="14192"/>
    <n v="14123"/>
    <n v="37491"/>
    <n v="1562.125"/>
    <n v="24650"/>
    <n v="1027.0833333333333"/>
    <n v="14270.041666666666"/>
    <n v="13243.683333333334"/>
  </r>
  <r>
    <x v="5"/>
    <s v="Morehead State University "/>
    <m/>
    <n v="157386"/>
    <x v="2"/>
    <s v="sem"/>
    <s v="sem"/>
    <m/>
    <m/>
    <n v="82360"/>
    <n v="81756"/>
    <n v="11026"/>
    <n v="9599"/>
    <n v="88964"/>
    <n v="97095"/>
    <n v="182350"/>
    <n v="6078.333333333333"/>
    <n v="188450"/>
    <n v="6281.666666666667"/>
    <n v="2965"/>
    <n v="9086"/>
    <n v="182350"/>
    <n v="188450"/>
    <m/>
    <m/>
    <m/>
    <m/>
    <m/>
    <m/>
    <m/>
    <m/>
    <n v="0"/>
    <n v="0"/>
    <n v="0"/>
    <n v="0"/>
    <m/>
    <m/>
    <n v="0"/>
    <n v="0"/>
    <m/>
    <m/>
    <n v="8564"/>
    <n v="8377"/>
    <n v="5894"/>
    <n v="5040"/>
    <n v="8519"/>
    <n v="9212"/>
    <n v="22977"/>
    <n v="957.375"/>
    <n v="22629"/>
    <n v="942.875"/>
    <n v="7035.708333333333"/>
    <n v="7224.541666666667"/>
  </r>
  <r>
    <x v="5"/>
    <s v="Murray State University "/>
    <m/>
    <n v="157401"/>
    <x v="2"/>
    <s v="sem"/>
    <s v="sem"/>
    <m/>
    <m/>
    <n v="100493"/>
    <n v="101531"/>
    <n v="10272"/>
    <n v="10049"/>
    <n v="109426"/>
    <n v="111062"/>
    <n v="220191"/>
    <n v="7339.7"/>
    <n v="222642"/>
    <n v="7421.4"/>
    <n v="1323"/>
    <n v="2696"/>
    <n v="220191"/>
    <n v="222642"/>
    <m/>
    <m/>
    <m/>
    <m/>
    <m/>
    <m/>
    <m/>
    <m/>
    <n v="0"/>
    <n v="0"/>
    <n v="0"/>
    <n v="0"/>
    <m/>
    <m/>
    <n v="0"/>
    <n v="0"/>
    <m/>
    <m/>
    <n v="12795"/>
    <n v="12917"/>
    <n v="5751"/>
    <n v="5565"/>
    <n v="13198"/>
    <n v="12677"/>
    <n v="31744"/>
    <n v="1322.6666666666667"/>
    <n v="31159"/>
    <n v="1298.2916666666667"/>
    <n v="8662.3666666666668"/>
    <n v="8719.6916666666657"/>
  </r>
  <r>
    <x v="5"/>
    <s v="Western Kentucky University "/>
    <m/>
    <n v="157951"/>
    <x v="2"/>
    <s v="sem"/>
    <s v="sem"/>
    <m/>
    <m/>
    <n v="213901.5"/>
    <n v="211050"/>
    <n v="25423"/>
    <n v="24919"/>
    <n v="224710"/>
    <n v="223633"/>
    <n v="464034.5"/>
    <n v="15467.816666666668"/>
    <n v="459602"/>
    <n v="15320.066666666668"/>
    <n v="10837"/>
    <n v="12153"/>
    <n v="464034.5"/>
    <n v="459602"/>
    <m/>
    <m/>
    <m/>
    <m/>
    <m/>
    <m/>
    <m/>
    <m/>
    <n v="0"/>
    <n v="0"/>
    <n v="0"/>
    <n v="0"/>
    <m/>
    <m/>
    <n v="0"/>
    <n v="0"/>
    <m/>
    <m/>
    <n v="20641"/>
    <n v="20758"/>
    <n v="10018"/>
    <n v="9509"/>
    <n v="20456.5"/>
    <n v="19874"/>
    <n v="51115.5"/>
    <n v="2129.8125"/>
    <n v="50141"/>
    <n v="2089.2083333333335"/>
    <n v="17597.629166666666"/>
    <n v="17409.275000000001"/>
  </r>
  <r>
    <x v="5"/>
    <s v="Kentucky State University "/>
    <m/>
    <n v="157058"/>
    <x v="3"/>
    <s v="sem"/>
    <s v="sem"/>
    <m/>
    <m/>
    <n v="28635.5"/>
    <n v="29269"/>
    <n v="4993"/>
    <n v="4031"/>
    <n v="32907"/>
    <n v="30478"/>
    <n v="66535.5"/>
    <n v="2217.85"/>
    <n v="63778"/>
    <n v="2125.9333333333334"/>
    <n v="521"/>
    <n v="490"/>
    <n v="66535.5"/>
    <n v="63778"/>
    <m/>
    <m/>
    <m/>
    <m/>
    <m/>
    <m/>
    <m/>
    <m/>
    <n v="0"/>
    <n v="0"/>
    <n v="0"/>
    <n v="0"/>
    <m/>
    <m/>
    <n v="0"/>
    <n v="0"/>
    <m/>
    <m/>
    <n v="1476"/>
    <n v="1740"/>
    <n v="282"/>
    <n v="395"/>
    <n v="1847"/>
    <n v="1862"/>
    <n v="3605"/>
    <n v="150.20833333333334"/>
    <n v="3997"/>
    <n v="166.54166666666666"/>
    <n v="2368.0583333333334"/>
    <n v="2292.4749999999999"/>
  </r>
  <r>
    <x v="5"/>
    <s v="Northern Kentucky University "/>
    <m/>
    <n v="157447"/>
    <x v="3"/>
    <s v="sem"/>
    <s v="sem"/>
    <m/>
    <m/>
    <n v="148527.5"/>
    <n v="149605"/>
    <n v="20938"/>
    <n v="22457"/>
    <n v="162428"/>
    <n v="162661"/>
    <n v="331893.5"/>
    <n v="11063.116666666667"/>
    <n v="334723"/>
    <n v="11157.433333333332"/>
    <n v="3953"/>
    <n v="4106"/>
    <n v="331893.5"/>
    <n v="334723"/>
    <m/>
    <m/>
    <m/>
    <m/>
    <m/>
    <m/>
    <m/>
    <m/>
    <n v="0"/>
    <n v="0"/>
    <n v="0"/>
    <n v="0"/>
    <m/>
    <m/>
    <n v="0"/>
    <n v="0"/>
    <m/>
    <m/>
    <n v="16340"/>
    <n v="17048"/>
    <n v="6791"/>
    <n v="6868"/>
    <n v="16980"/>
    <n v="17415"/>
    <n v="40111"/>
    <n v="1671.2916666666667"/>
    <n v="41331"/>
    <n v="1722.125"/>
    <n v="12734.408333333333"/>
    <n v="12879.558333333332"/>
  </r>
  <r>
    <x v="5"/>
    <s v="Bluegrass Community and Technical College"/>
    <m/>
    <n v="157173"/>
    <x v="6"/>
    <s v="sem"/>
    <s v="sem"/>
    <m/>
    <m/>
    <n v="120509.2"/>
    <n v="123732"/>
    <n v="26693"/>
    <n v="27952"/>
    <n v="131976"/>
    <n v="134608"/>
    <n v="279178.2"/>
    <n v="9305.94"/>
    <n v="286292"/>
    <n v="9543.0666666666675"/>
    <n v="6083"/>
    <n v="7198"/>
    <n v="279178.2"/>
    <n v="286292"/>
    <m/>
    <m/>
    <m/>
    <m/>
    <m/>
    <m/>
    <m/>
    <m/>
    <n v="0"/>
    <n v="0"/>
    <n v="0"/>
    <n v="0"/>
    <m/>
    <m/>
    <n v="0"/>
    <n v="0"/>
    <m/>
    <m/>
    <m/>
    <m/>
    <m/>
    <m/>
    <m/>
    <m/>
    <n v="0"/>
    <n v="0"/>
    <n v="0"/>
    <n v="0"/>
    <n v="9305.94"/>
    <n v="9543.0666666666675"/>
  </r>
  <r>
    <x v="5"/>
    <s v="Jefferson Community and Technical College "/>
    <m/>
    <n v="156921"/>
    <x v="6"/>
    <s v="sem"/>
    <s v="sem"/>
    <m/>
    <m/>
    <n v="122116.1"/>
    <n v="120585"/>
    <n v="23012"/>
    <n v="22034"/>
    <n v="128917"/>
    <n v="123792"/>
    <n v="274045.09999999998"/>
    <n v="9134.8366666666661"/>
    <n v="266411"/>
    <n v="8880.3666666666668"/>
    <n v="11985"/>
    <n v="12829"/>
    <n v="274045.09999999998"/>
    <n v="266411"/>
    <m/>
    <m/>
    <m/>
    <m/>
    <m/>
    <m/>
    <m/>
    <m/>
    <n v="0"/>
    <n v="0"/>
    <n v="0"/>
    <n v="0"/>
    <m/>
    <m/>
    <n v="0"/>
    <n v="0"/>
    <m/>
    <m/>
    <m/>
    <m/>
    <m/>
    <m/>
    <m/>
    <m/>
    <n v="0"/>
    <n v="0"/>
    <n v="0"/>
    <n v="0"/>
    <n v="9134.8366666666661"/>
    <n v="8880.3666666666668"/>
  </r>
  <r>
    <x v="5"/>
    <s v="Ashland Community and Technical College"/>
    <m/>
    <n v="156231"/>
    <x v="7"/>
    <s v="sem"/>
    <s v="sem"/>
    <m/>
    <m/>
    <n v="34670.6"/>
    <n v="35108"/>
    <n v="6961"/>
    <n v="8480"/>
    <n v="45287"/>
    <n v="43144"/>
    <n v="86918.6"/>
    <n v="2897.2866666666669"/>
    <n v="86732"/>
    <n v="2891.0666666666666"/>
    <n v="8362"/>
    <n v="9358"/>
    <n v="86918.6"/>
    <n v="86732"/>
    <m/>
    <m/>
    <m/>
    <m/>
    <m/>
    <m/>
    <m/>
    <m/>
    <n v="0"/>
    <n v="0"/>
    <n v="0"/>
    <n v="0"/>
    <m/>
    <m/>
    <n v="0"/>
    <n v="0"/>
    <m/>
    <m/>
    <m/>
    <m/>
    <m/>
    <m/>
    <m/>
    <m/>
    <n v="0"/>
    <n v="0"/>
    <n v="0"/>
    <n v="0"/>
    <n v="2897.2866666666669"/>
    <n v="2891.0666666666666"/>
  </r>
  <r>
    <x v="5"/>
    <s v="Big Sandy Community and Technical College "/>
    <m/>
    <n v="157553"/>
    <x v="7"/>
    <s v="sem"/>
    <s v="sem"/>
    <m/>
    <m/>
    <n v="40177"/>
    <n v="40087"/>
    <n v="8855"/>
    <n v="7575"/>
    <n v="44013"/>
    <n v="40140"/>
    <n v="93045"/>
    <n v="3101.5"/>
    <n v="87802"/>
    <n v="2926.7333333333331"/>
    <n v="2310"/>
    <n v="2355"/>
    <n v="93045"/>
    <n v="87802"/>
    <m/>
    <m/>
    <m/>
    <m/>
    <m/>
    <m/>
    <m/>
    <m/>
    <n v="0"/>
    <n v="0"/>
    <n v="0"/>
    <n v="0"/>
    <m/>
    <m/>
    <n v="0"/>
    <n v="0"/>
    <m/>
    <m/>
    <m/>
    <m/>
    <m/>
    <m/>
    <m/>
    <m/>
    <n v="0"/>
    <n v="0"/>
    <n v="0"/>
    <n v="0"/>
    <n v="3101.5"/>
    <n v="2926.7333333333331"/>
  </r>
  <r>
    <x v="5"/>
    <s v="Elizabethtown Community and Technical College "/>
    <m/>
    <n v="156648"/>
    <x v="7"/>
    <s v="sem"/>
    <s v="sem"/>
    <m/>
    <m/>
    <n v="56319"/>
    <n v="56602"/>
    <n v="10204"/>
    <n v="10429"/>
    <n v="62554"/>
    <n v="60635"/>
    <n v="129077"/>
    <n v="4302.5666666666666"/>
    <n v="127666"/>
    <n v="4255.5333333333338"/>
    <n v="2188"/>
    <n v="2349"/>
    <n v="129077"/>
    <n v="127666"/>
    <m/>
    <m/>
    <m/>
    <m/>
    <m/>
    <m/>
    <m/>
    <m/>
    <n v="0"/>
    <n v="0"/>
    <n v="0"/>
    <n v="0"/>
    <m/>
    <m/>
    <n v="0"/>
    <n v="0"/>
    <m/>
    <m/>
    <m/>
    <m/>
    <m/>
    <m/>
    <m/>
    <m/>
    <n v="0"/>
    <n v="0"/>
    <n v="0"/>
    <n v="0"/>
    <n v="4302.5666666666666"/>
    <n v="4255.5333333333338"/>
  </r>
  <r>
    <x v="5"/>
    <s v="Hopkinsville Community College "/>
    <s v="Reclassified: Met the criteria for Two-Year 2 in 2009-10, 2010-11 and 2011-12."/>
    <n v="156860"/>
    <x v="7"/>
    <s v="sem"/>
    <s v="sem"/>
    <m/>
    <m/>
    <n v="33279"/>
    <n v="33542"/>
    <n v="7526"/>
    <n v="8530"/>
    <n v="34835"/>
    <n v="36857"/>
    <n v="75640"/>
    <n v="2521.3333333333335"/>
    <n v="78929"/>
    <n v="2630.9666666666667"/>
    <n v="1860"/>
    <n v="2196"/>
    <n v="75640"/>
    <n v="78929"/>
    <m/>
    <m/>
    <m/>
    <m/>
    <m/>
    <m/>
    <m/>
    <m/>
    <n v="0"/>
    <n v="0"/>
    <n v="0"/>
    <n v="0"/>
    <m/>
    <m/>
    <n v="0"/>
    <n v="0"/>
    <m/>
    <m/>
    <m/>
    <m/>
    <m/>
    <m/>
    <m/>
    <m/>
    <n v="0"/>
    <n v="0"/>
    <n v="0"/>
    <n v="0"/>
    <n v="2521.3333333333335"/>
    <n v="2630.9666666666667"/>
  </r>
  <r>
    <x v="5"/>
    <s v="Madisonville Community College"/>
    <m/>
    <n v="157304"/>
    <x v="7"/>
    <s v="sem"/>
    <s v="sem"/>
    <m/>
    <m/>
    <n v="28921"/>
    <n v="28895"/>
    <n v="4159"/>
    <n v="3252"/>
    <n v="31718"/>
    <n v="30523"/>
    <n v="64798"/>
    <n v="2159.9333333333334"/>
    <n v="62670"/>
    <n v="2089"/>
    <n v="3759"/>
    <n v="4474"/>
    <n v="64798"/>
    <n v="62670"/>
    <m/>
    <m/>
    <m/>
    <m/>
    <m/>
    <m/>
    <m/>
    <m/>
    <n v="0"/>
    <n v="0"/>
    <n v="0"/>
    <n v="0"/>
    <m/>
    <m/>
    <n v="0"/>
    <n v="0"/>
    <m/>
    <m/>
    <m/>
    <m/>
    <m/>
    <m/>
    <m/>
    <m/>
    <n v="0"/>
    <n v="0"/>
    <n v="0"/>
    <n v="0"/>
    <n v="2159.9333333333334"/>
    <n v="2089"/>
  </r>
  <r>
    <x v="5"/>
    <s v="Maysville Community and Technical College "/>
    <m/>
    <n v="157331"/>
    <x v="7"/>
    <s v="sem"/>
    <s v="sem"/>
    <m/>
    <m/>
    <n v="46017"/>
    <n v="47733"/>
    <n v="10286"/>
    <n v="10304"/>
    <n v="45595"/>
    <n v="45934"/>
    <n v="101898"/>
    <n v="3396.6"/>
    <n v="103971"/>
    <n v="3465.7"/>
    <n v="6982"/>
    <n v="7272"/>
    <n v="101898"/>
    <n v="103971"/>
    <m/>
    <m/>
    <m/>
    <m/>
    <m/>
    <m/>
    <m/>
    <m/>
    <n v="0"/>
    <n v="0"/>
    <n v="0"/>
    <n v="0"/>
    <m/>
    <m/>
    <n v="0"/>
    <n v="0"/>
    <m/>
    <m/>
    <m/>
    <m/>
    <m/>
    <m/>
    <m/>
    <m/>
    <n v="0"/>
    <n v="0"/>
    <n v="0"/>
    <n v="0"/>
    <n v="3396.6"/>
    <n v="3465.7"/>
  </r>
  <r>
    <x v="5"/>
    <s v="Owensboro Community and Technical College "/>
    <m/>
    <n v="247940"/>
    <x v="7"/>
    <s v="sem"/>
    <s v="sem"/>
    <m/>
    <m/>
    <n v="41679"/>
    <n v="42505"/>
    <n v="6128"/>
    <n v="5971"/>
    <n v="51170"/>
    <n v="48398"/>
    <n v="98977"/>
    <n v="3299.2333333333331"/>
    <n v="96874"/>
    <n v="3229.1333333333332"/>
    <n v="17977"/>
    <n v="16621"/>
    <n v="98977"/>
    <n v="96874"/>
    <m/>
    <m/>
    <m/>
    <m/>
    <m/>
    <m/>
    <m/>
    <m/>
    <n v="0"/>
    <n v="0"/>
    <n v="0"/>
    <n v="0"/>
    <m/>
    <m/>
    <n v="0"/>
    <n v="0"/>
    <m/>
    <m/>
    <m/>
    <m/>
    <m/>
    <m/>
    <m/>
    <m/>
    <n v="0"/>
    <n v="0"/>
    <n v="0"/>
    <n v="0"/>
    <n v="3299.2333333333331"/>
    <n v="3229.1333333333332"/>
  </r>
  <r>
    <x v="5"/>
    <s v="Somerset Community and Technical College "/>
    <s v="Met the criteria for classification as a Two-Year 1 in 2011-12."/>
    <n v="157711"/>
    <x v="7"/>
    <s v="sem"/>
    <s v="sem"/>
    <m/>
    <m/>
    <n v="70326"/>
    <n v="77066"/>
    <n v="12302"/>
    <n v="13713"/>
    <n v="81708"/>
    <n v="82170"/>
    <n v="164336"/>
    <n v="5477.8666666666668"/>
    <n v="172949"/>
    <n v="5764.9666666666662"/>
    <n v="9766"/>
    <n v="10299"/>
    <n v="164336"/>
    <n v="172949"/>
    <m/>
    <m/>
    <m/>
    <m/>
    <m/>
    <m/>
    <m/>
    <m/>
    <n v="0"/>
    <n v="0"/>
    <n v="0"/>
    <n v="0"/>
    <m/>
    <m/>
    <n v="0"/>
    <n v="0"/>
    <m/>
    <m/>
    <m/>
    <m/>
    <m/>
    <m/>
    <m/>
    <m/>
    <n v="0"/>
    <n v="0"/>
    <n v="0"/>
    <n v="0"/>
    <n v="5477.8666666666668"/>
    <n v="5764.9666666666662"/>
  </r>
  <r>
    <x v="5"/>
    <s v="Southeast Kentucky Community and Technical College"/>
    <m/>
    <n v="157739"/>
    <x v="7"/>
    <s v="sem"/>
    <s v="sem"/>
    <m/>
    <m/>
    <n v="34902"/>
    <n v="32887"/>
    <n v="4163"/>
    <n v="4019"/>
    <n v="37022"/>
    <n v="35094"/>
    <n v="76087"/>
    <n v="2536.2333333333331"/>
    <n v="72000"/>
    <n v="2400"/>
    <n v="5682"/>
    <n v="5024"/>
    <n v="76087"/>
    <n v="72000"/>
    <m/>
    <m/>
    <m/>
    <m/>
    <m/>
    <m/>
    <m/>
    <m/>
    <n v="0"/>
    <n v="0"/>
    <n v="0"/>
    <n v="0"/>
    <m/>
    <m/>
    <n v="0"/>
    <n v="0"/>
    <m/>
    <m/>
    <m/>
    <m/>
    <m/>
    <m/>
    <m/>
    <m/>
    <n v="0"/>
    <n v="0"/>
    <n v="0"/>
    <n v="0"/>
    <n v="2536.2333333333331"/>
    <n v="2400"/>
  </r>
  <r>
    <x v="5"/>
    <s v="West Kentucky Community and Technical College"/>
    <m/>
    <n v="157483"/>
    <x v="7"/>
    <s v="sem"/>
    <s v="sem"/>
    <m/>
    <m/>
    <n v="50478"/>
    <n v="54242"/>
    <n v="11569"/>
    <n v="11607"/>
    <n v="60405"/>
    <n v="62468"/>
    <n v="122452"/>
    <n v="4081.7333333333331"/>
    <n v="128317"/>
    <n v="4277.2333333333336"/>
    <n v="9892"/>
    <n v="10705"/>
    <n v="122452"/>
    <n v="128317"/>
    <m/>
    <m/>
    <m/>
    <m/>
    <m/>
    <m/>
    <m/>
    <m/>
    <n v="0"/>
    <n v="0"/>
    <n v="0"/>
    <n v="0"/>
    <m/>
    <m/>
    <n v="0"/>
    <n v="0"/>
    <m/>
    <m/>
    <m/>
    <m/>
    <m/>
    <m/>
    <m/>
    <m/>
    <n v="0"/>
    <n v="0"/>
    <n v="0"/>
    <n v="0"/>
    <n v="4081.7333333333331"/>
    <n v="4277.2333333333336"/>
  </r>
  <r>
    <x v="5"/>
    <s v="Hazard Community and Technical College"/>
    <s v="Met the criteria for classification as a Two-Year 2 in 2010-11 and 2011-12."/>
    <n v="156790"/>
    <x v="8"/>
    <s v="sem"/>
    <s v="sem"/>
    <m/>
    <m/>
    <n v="29902"/>
    <n v="29430"/>
    <n v="5178"/>
    <n v="5648"/>
    <n v="34598"/>
    <n v="33285"/>
    <n v="69678"/>
    <n v="2322.6"/>
    <n v="68363"/>
    <n v="2278.7666666666669"/>
    <n v="4195"/>
    <n v="4848"/>
    <n v="69678"/>
    <n v="68363"/>
    <m/>
    <m/>
    <m/>
    <m/>
    <m/>
    <m/>
    <m/>
    <m/>
    <n v="0"/>
    <n v="0"/>
    <n v="0"/>
    <n v="0"/>
    <m/>
    <m/>
    <n v="0"/>
    <n v="0"/>
    <m/>
    <m/>
    <m/>
    <m/>
    <m/>
    <m/>
    <m/>
    <m/>
    <n v="0"/>
    <n v="0"/>
    <n v="0"/>
    <n v="0"/>
    <n v="2322.6"/>
    <n v="2278.7666666666669"/>
  </r>
  <r>
    <x v="5"/>
    <s v="Henderson Community College "/>
    <m/>
    <n v="156851"/>
    <x v="8"/>
    <s v="sem"/>
    <s v="sem"/>
    <m/>
    <m/>
    <n v="19450"/>
    <n v="18837"/>
    <n v="5087"/>
    <n v="3798"/>
    <n v="20657"/>
    <n v="20600"/>
    <n v="45194"/>
    <n v="1506.4666666666667"/>
    <n v="43235"/>
    <n v="1441.1666666666667"/>
    <n v="1553"/>
    <n v="1619"/>
    <n v="45194"/>
    <n v="43235"/>
    <m/>
    <m/>
    <m/>
    <m/>
    <m/>
    <m/>
    <m/>
    <m/>
    <n v="0"/>
    <n v="0"/>
    <n v="0"/>
    <n v="0"/>
    <m/>
    <m/>
    <n v="0"/>
    <n v="0"/>
    <m/>
    <m/>
    <m/>
    <m/>
    <m/>
    <m/>
    <m/>
    <m/>
    <n v="0"/>
    <n v="0"/>
    <n v="0"/>
    <n v="0"/>
    <n v="1506.4666666666667"/>
    <n v="1441.1666666666667"/>
  </r>
  <r>
    <x v="5"/>
    <s v="Bowling Green Technical College"/>
    <m/>
    <n v="156338"/>
    <x v="9"/>
    <s v="sem"/>
    <s v="sem"/>
    <m/>
    <m/>
    <n v="28577"/>
    <n v="29052"/>
    <n v="5207"/>
    <n v="4837"/>
    <n v="33729"/>
    <n v="35470"/>
    <n v="67513"/>
    <n v="2250.4333333333334"/>
    <n v="69359"/>
    <n v="2311.9666666666667"/>
    <n v="5391"/>
    <n v="5845"/>
    <n v="67513"/>
    <n v="69359"/>
    <m/>
    <m/>
    <m/>
    <m/>
    <m/>
    <m/>
    <m/>
    <m/>
    <n v="0"/>
    <n v="0"/>
    <n v="0"/>
    <n v="0"/>
    <m/>
    <m/>
    <n v="0"/>
    <n v="0"/>
    <m/>
    <m/>
    <m/>
    <m/>
    <m/>
    <m/>
    <m/>
    <m/>
    <n v="0"/>
    <n v="0"/>
    <n v="0"/>
    <n v="0"/>
    <n v="2250.4333333333334"/>
    <n v="2311.9666666666667"/>
  </r>
  <r>
    <x v="5"/>
    <s v="Gateway Community and Technical College"/>
    <m/>
    <n v="157438"/>
    <x v="9"/>
    <s v="sem"/>
    <s v="sem"/>
    <m/>
    <m/>
    <n v="29450"/>
    <n v="32870"/>
    <n v="6093"/>
    <n v="7251"/>
    <n v="34479"/>
    <n v="35036"/>
    <n v="70022"/>
    <n v="2334.0666666666666"/>
    <n v="75157"/>
    <n v="2505.2333333333331"/>
    <n v="3294"/>
    <n v="3290"/>
    <n v="70022"/>
    <n v="75157"/>
    <m/>
    <m/>
    <m/>
    <m/>
    <m/>
    <m/>
    <m/>
    <m/>
    <n v="0"/>
    <n v="0"/>
    <n v="0"/>
    <n v="0"/>
    <m/>
    <m/>
    <n v="0"/>
    <n v="0"/>
    <m/>
    <m/>
    <m/>
    <m/>
    <m/>
    <m/>
    <m/>
    <m/>
    <n v="0"/>
    <n v="0"/>
    <n v="0"/>
    <n v="0"/>
    <n v="2334.0666666666666"/>
    <n v="2505.2333333333331"/>
  </r>
  <r>
    <x v="6"/>
    <s v="Louisiana State University and A&amp;M College"/>
    <m/>
    <n v="159391"/>
    <x v="0"/>
    <s v="sem"/>
    <s v="sem"/>
    <m/>
    <m/>
    <n v="314754"/>
    <n v="321960"/>
    <n v="43882"/>
    <n v="45694"/>
    <n v="360757"/>
    <n v="359983"/>
    <n v="719393"/>
    <n v="23979.766666666666"/>
    <n v="727637"/>
    <n v="24254.566666666666"/>
    <n v="741"/>
    <n v="1574"/>
    <n v="719393"/>
    <n v="727637"/>
    <m/>
    <m/>
    <m/>
    <m/>
    <m/>
    <m/>
    <m/>
    <m/>
    <n v="0"/>
    <n v="0"/>
    <n v="0"/>
    <n v="0"/>
    <m/>
    <m/>
    <n v="0"/>
    <n v="0"/>
    <m/>
    <m/>
    <n v="48659"/>
    <n v="50701"/>
    <n v="14204"/>
    <n v="14767"/>
    <n v="53081"/>
    <n v="53277"/>
    <n v="115944"/>
    <n v="4831"/>
    <n v="118745"/>
    <n v="4947.708333333333"/>
    <n v="28810.766666666666"/>
    <n v="29202.274999999998"/>
  </r>
  <r>
    <x v="6"/>
    <s v="Louisiana Tech University "/>
    <m/>
    <n v="159647"/>
    <x v="1"/>
    <s v="quar"/>
    <s v="quar"/>
    <n v="66739"/>
    <n v="67969"/>
    <n v="67368"/>
    <n v="69219"/>
    <n v="18309"/>
    <n v="17543"/>
    <n v="77925"/>
    <n v="79602"/>
    <n v="230341"/>
    <n v="5118.6888888888889"/>
    <n v="234333"/>
    <n v="5207.3999999999996"/>
    <n v="7536"/>
    <n v="10075"/>
    <n v="230341"/>
    <n v="234333"/>
    <m/>
    <m/>
    <m/>
    <m/>
    <m/>
    <m/>
    <m/>
    <m/>
    <n v="0"/>
    <n v="0"/>
    <n v="0"/>
    <n v="0"/>
    <m/>
    <m/>
    <n v="0"/>
    <n v="0"/>
    <n v="7573"/>
    <n v="7842"/>
    <n v="7241"/>
    <n v="7384"/>
    <n v="4405"/>
    <n v="4350"/>
    <n v="12613"/>
    <n v="11636"/>
    <n v="31832"/>
    <n v="884.22222222222217"/>
    <n v="31212"/>
    <n v="867"/>
    <n v="6002.9111111111106"/>
    <n v="6074.4"/>
  </r>
  <r>
    <x v="6"/>
    <s v="University of Louisiana at Lafayette"/>
    <m/>
    <n v="160658"/>
    <x v="1"/>
    <s v="sem"/>
    <s v="sem"/>
    <m/>
    <m/>
    <n v="180216"/>
    <n v="183146"/>
    <n v="25131"/>
    <n v="25735"/>
    <n v="200856"/>
    <n v="201949"/>
    <n v="406203"/>
    <n v="13540.1"/>
    <n v="410830"/>
    <n v="13694.333333333334"/>
    <n v="1016"/>
    <n v="992"/>
    <n v="406203"/>
    <n v="410830"/>
    <m/>
    <m/>
    <m/>
    <m/>
    <m/>
    <m/>
    <m/>
    <m/>
    <n v="0"/>
    <n v="0"/>
    <n v="0"/>
    <n v="0"/>
    <m/>
    <m/>
    <n v="0"/>
    <n v="0"/>
    <m/>
    <m/>
    <n v="11327"/>
    <n v="11507"/>
    <n v="2372"/>
    <n v="2881"/>
    <n v="11370"/>
    <n v="12160"/>
    <n v="25069"/>
    <n v="1044.5416666666667"/>
    <n v="26548"/>
    <n v="1106.1666666666667"/>
    <n v="14584.641666666666"/>
    <n v="14800.5"/>
  </r>
  <r>
    <x v="6"/>
    <s v="University of New Orleans"/>
    <m/>
    <n v="159939"/>
    <x v="1"/>
    <s v="sem"/>
    <s v="sem"/>
    <m/>
    <m/>
    <n v="100002"/>
    <n v="96961"/>
    <n v="20710"/>
    <n v="18653"/>
    <n v="103245"/>
    <n v="101303"/>
    <n v="223957"/>
    <n v="7465.2333333333336"/>
    <n v="216917"/>
    <n v="7230.5666666666666"/>
    <n v="527"/>
    <n v="613"/>
    <n v="223957"/>
    <n v="216917"/>
    <m/>
    <m/>
    <m/>
    <m/>
    <m/>
    <m/>
    <m/>
    <m/>
    <n v="0"/>
    <n v="0"/>
    <n v="0"/>
    <n v="0"/>
    <m/>
    <m/>
    <n v="0"/>
    <n v="0"/>
    <m/>
    <m/>
    <n v="18729"/>
    <n v="18425"/>
    <n v="7831"/>
    <n v="7461"/>
    <n v="21210"/>
    <n v="18864"/>
    <n v="47770"/>
    <n v="1990.4166666666667"/>
    <n v="44750"/>
    <n v="1864.5833333333333"/>
    <n v="9455.65"/>
    <n v="9095.15"/>
  </r>
  <r>
    <x v="6"/>
    <s v="Southeastern Louisiana University "/>
    <m/>
    <n v="160612"/>
    <x v="2"/>
    <s v="sem"/>
    <s v="sem"/>
    <m/>
    <m/>
    <n v="165107"/>
    <n v="166891"/>
    <n v="26223"/>
    <n v="25518"/>
    <n v="180803"/>
    <n v="175070"/>
    <n v="372133"/>
    <n v="12404.433333333332"/>
    <n v="367479"/>
    <n v="12249.3"/>
    <n v="5534"/>
    <n v="9364"/>
    <n v="372133"/>
    <n v="367479"/>
    <m/>
    <m/>
    <m/>
    <m/>
    <m/>
    <m/>
    <m/>
    <m/>
    <n v="0"/>
    <n v="0"/>
    <n v="0"/>
    <n v="0"/>
    <m/>
    <m/>
    <n v="0"/>
    <n v="0"/>
    <m/>
    <m/>
    <n v="9068"/>
    <n v="9063"/>
    <n v="5894"/>
    <n v="5149"/>
    <n v="9160"/>
    <n v="8871"/>
    <n v="24122"/>
    <n v="1005.0833333333334"/>
    <n v="23083"/>
    <n v="961.79166666666663"/>
    <n v="13409.516666666666"/>
    <n v="13211.091666666665"/>
  </r>
  <r>
    <x v="6"/>
    <s v="Southern University and A&amp;M College at Baton Rouge "/>
    <m/>
    <n v="160621"/>
    <x v="2"/>
    <s v="sem"/>
    <s v="sem"/>
    <m/>
    <m/>
    <n v="83163"/>
    <n v="79786"/>
    <n v="17179"/>
    <n v="17343"/>
    <n v="86109"/>
    <n v="78761"/>
    <n v="186451"/>
    <n v="6215.0333333333338"/>
    <n v="175890"/>
    <n v="5863"/>
    <n v="51"/>
    <n v="219"/>
    <n v="186451"/>
    <n v="175890"/>
    <m/>
    <m/>
    <m/>
    <m/>
    <m/>
    <m/>
    <m/>
    <m/>
    <n v="0"/>
    <n v="0"/>
    <n v="0"/>
    <n v="0"/>
    <m/>
    <m/>
    <n v="0"/>
    <n v="0"/>
    <m/>
    <m/>
    <n v="16437"/>
    <n v="18227"/>
    <n v="4796"/>
    <n v="5142"/>
    <n v="18995"/>
    <n v="18502"/>
    <n v="40228"/>
    <n v="1676.1666666666667"/>
    <n v="41871"/>
    <n v="1744.625"/>
    <n v="7891.2000000000007"/>
    <n v="7607.625"/>
  </r>
  <r>
    <x v="6"/>
    <s v="University of Louisiana at Monroe"/>
    <m/>
    <n v="159993"/>
    <x v="2"/>
    <s v="sem"/>
    <s v="sem"/>
    <m/>
    <n v="2599"/>
    <n v="83814"/>
    <n v="76512"/>
    <n v="19490"/>
    <n v="25494"/>
    <n v="88191"/>
    <n v="86222"/>
    <n v="191495"/>
    <n v="6383.166666666667"/>
    <n v="190827"/>
    <n v="6360.9"/>
    <n v="7251"/>
    <n v="8899"/>
    <n v="191495"/>
    <n v="190827"/>
    <m/>
    <m/>
    <m/>
    <m/>
    <m/>
    <m/>
    <m/>
    <m/>
    <n v="0"/>
    <n v="0"/>
    <n v="0"/>
    <n v="0"/>
    <m/>
    <m/>
    <n v="0"/>
    <n v="0"/>
    <m/>
    <n v="236"/>
    <n v="11299"/>
    <n v="11816"/>
    <n v="5547"/>
    <n v="6972"/>
    <n v="11695"/>
    <n v="13227"/>
    <n v="28541"/>
    <n v="1189.2083333333333"/>
    <n v="32251"/>
    <n v="1343.7916666666667"/>
    <n v="7572.375"/>
    <n v="7704.6916666666666"/>
  </r>
  <r>
    <x v="6"/>
    <s v="Grambling State University"/>
    <m/>
    <n v="159009"/>
    <x v="3"/>
    <s v="sem"/>
    <s v="sem"/>
    <m/>
    <m/>
    <n v="57435"/>
    <n v="57133"/>
    <n v="14025"/>
    <n v="15132"/>
    <n v="60178"/>
    <n v="61060"/>
    <n v="131638"/>
    <n v="4387.9333333333334"/>
    <n v="133325"/>
    <n v="4444.166666666667"/>
    <n v="108"/>
    <n v="129"/>
    <n v="131638"/>
    <n v="133325"/>
    <m/>
    <m/>
    <m/>
    <m/>
    <m/>
    <m/>
    <m/>
    <m/>
    <n v="0"/>
    <n v="0"/>
    <n v="0"/>
    <n v="0"/>
    <m/>
    <m/>
    <n v="0"/>
    <n v="0"/>
    <m/>
    <m/>
    <n v="3960"/>
    <n v="5191"/>
    <n v="2191"/>
    <n v="2586"/>
    <n v="4917"/>
    <n v="6077"/>
    <n v="11068"/>
    <n v="461.16666666666669"/>
    <n v="13854"/>
    <n v="577.25"/>
    <n v="4849.1000000000004"/>
    <n v="5021.416666666667"/>
  </r>
  <r>
    <x v="6"/>
    <s v="Louisiana State University in Shreveport"/>
    <m/>
    <n v="159416"/>
    <x v="3"/>
    <s v="sem"/>
    <s v="sem"/>
    <m/>
    <m/>
    <n v="42112"/>
    <n v="40140"/>
    <n v="9599"/>
    <n v="9056"/>
    <n v="41695"/>
    <n v="42238"/>
    <n v="93406"/>
    <n v="3113.5333333333333"/>
    <n v="91434"/>
    <n v="3047.8"/>
    <n v="5849"/>
    <n v="7771"/>
    <n v="93406"/>
    <n v="91434"/>
    <m/>
    <m/>
    <m/>
    <m/>
    <m/>
    <m/>
    <m/>
    <m/>
    <n v="0"/>
    <n v="0"/>
    <n v="0"/>
    <n v="0"/>
    <m/>
    <m/>
    <n v="0"/>
    <n v="0"/>
    <m/>
    <m/>
    <n v="2734"/>
    <n v="2679"/>
    <n v="1229"/>
    <n v="1286"/>
    <n v="2783"/>
    <n v="2752"/>
    <n v="6746"/>
    <n v="281.08333333333331"/>
    <n v="6717"/>
    <n v="279.875"/>
    <n v="3394.6166666666668"/>
    <n v="3327.6750000000002"/>
  </r>
  <r>
    <x v="6"/>
    <s v="McNeese State University"/>
    <m/>
    <n v="159717"/>
    <x v="3"/>
    <s v="sem"/>
    <s v="sem"/>
    <m/>
    <m/>
    <n v="96649"/>
    <n v="99274"/>
    <n v="12455"/>
    <n v="13537"/>
    <n v="105813"/>
    <n v="105150"/>
    <n v="214917"/>
    <n v="7163.9"/>
    <n v="217961"/>
    <n v="7265.3666666666668"/>
    <n v="4559"/>
    <n v="5793"/>
    <n v="214917"/>
    <n v="217961"/>
    <m/>
    <m/>
    <m/>
    <m/>
    <m/>
    <m/>
    <m/>
    <m/>
    <n v="0"/>
    <n v="0"/>
    <n v="0"/>
    <n v="0"/>
    <m/>
    <m/>
    <n v="0"/>
    <n v="0"/>
    <m/>
    <m/>
    <n v="6449"/>
    <n v="6001"/>
    <n v="2726"/>
    <n v="2120"/>
    <n v="6406"/>
    <n v="6074"/>
    <n v="15581"/>
    <n v="649.20833333333337"/>
    <n v="14195"/>
    <n v="591.45833333333337"/>
    <n v="7813.1083333333327"/>
    <n v="7856.8249999999998"/>
  </r>
  <r>
    <x v="6"/>
    <s v="Nicholls State University "/>
    <m/>
    <n v="159966"/>
    <x v="3"/>
    <s v="sem"/>
    <s v="sem"/>
    <m/>
    <m/>
    <n v="79754"/>
    <n v="77075"/>
    <n v="17327"/>
    <n v="16318"/>
    <n v="84180"/>
    <n v="81554"/>
    <n v="181261"/>
    <n v="6042.0333333333338"/>
    <n v="174947"/>
    <n v="5831.5666666666666"/>
    <n v="1376"/>
    <n v="1011"/>
    <n v="181261"/>
    <n v="174947"/>
    <m/>
    <m/>
    <m/>
    <m/>
    <m/>
    <m/>
    <m/>
    <m/>
    <n v="0"/>
    <n v="0"/>
    <n v="0"/>
    <n v="0"/>
    <m/>
    <m/>
    <n v="0"/>
    <n v="0"/>
    <m/>
    <m/>
    <n v="4040"/>
    <n v="4125"/>
    <n v="3371"/>
    <n v="3710"/>
    <n v="4199"/>
    <n v="4002"/>
    <n v="11610"/>
    <n v="483.75"/>
    <n v="11837"/>
    <n v="493.20833333333331"/>
    <n v="6525.7833333333338"/>
    <n v="6324.7749999999996"/>
  </r>
  <r>
    <x v="6"/>
    <s v="Northwestern State University"/>
    <m/>
    <n v="160038"/>
    <x v="3"/>
    <s v="sem"/>
    <s v="sem"/>
    <m/>
    <m/>
    <n v="95721"/>
    <n v="93649"/>
    <n v="22829"/>
    <n v="22572"/>
    <n v="100213"/>
    <n v="99684"/>
    <n v="218763"/>
    <n v="7292.1"/>
    <n v="215905"/>
    <n v="7196.833333333333"/>
    <n v="5110"/>
    <n v="5488"/>
    <n v="218763"/>
    <n v="215905"/>
    <m/>
    <m/>
    <m/>
    <m/>
    <m/>
    <m/>
    <m/>
    <m/>
    <n v="0"/>
    <n v="0"/>
    <n v="0"/>
    <n v="0"/>
    <m/>
    <m/>
    <n v="0"/>
    <n v="0"/>
    <m/>
    <m/>
    <n v="6527"/>
    <n v="6802"/>
    <n v="4520"/>
    <n v="4515"/>
    <n v="7007"/>
    <n v="6791"/>
    <n v="18054"/>
    <n v="752.25"/>
    <n v="18108"/>
    <n v="754.5"/>
    <n v="8044.35"/>
    <n v="7951.333333333333"/>
  </r>
  <r>
    <x v="6"/>
    <s v="Southern University at New Orleans"/>
    <m/>
    <n v="160630"/>
    <x v="3"/>
    <s v="sem"/>
    <s v="sem"/>
    <m/>
    <m/>
    <n v="33042"/>
    <n v="33100"/>
    <n v="8851"/>
    <n v="5563"/>
    <n v="33354"/>
    <n v="38090"/>
    <n v="75247"/>
    <n v="2508.2333333333331"/>
    <n v="76753"/>
    <n v="2558.4333333333334"/>
    <n v="192"/>
    <n v="1353"/>
    <n v="75247"/>
    <n v="76753"/>
    <m/>
    <m/>
    <m/>
    <m/>
    <m/>
    <m/>
    <m/>
    <m/>
    <n v="0"/>
    <n v="0"/>
    <n v="0"/>
    <n v="0"/>
    <m/>
    <m/>
    <n v="0"/>
    <n v="0"/>
    <m/>
    <m/>
    <n v="3990"/>
    <n v="4421"/>
    <n v="1061"/>
    <n v="1125"/>
    <n v="4482"/>
    <n v="388"/>
    <n v="9533"/>
    <n v="397.20833333333331"/>
    <n v="5934"/>
    <n v="247.25"/>
    <n v="2905.4416666666666"/>
    <n v="2805.6833333333334"/>
  </r>
  <r>
    <x v="6"/>
    <s v="Louisiana State University at Alexandria"/>
    <s v="Reclassified: Met the criteria for Four-Year 6 in 2009-10, 2010-11 and 2011-12."/>
    <n v="159382"/>
    <x v="5"/>
    <s v="sem"/>
    <s v="sem"/>
    <m/>
    <m/>
    <n v="24647"/>
    <n v="24708"/>
    <n v="5191"/>
    <n v="5137"/>
    <n v="26666"/>
    <n v="26009"/>
    <n v="56504"/>
    <n v="1883.4666666666667"/>
    <n v="55854"/>
    <n v="1861.8"/>
    <n v="2502"/>
    <n v="2930"/>
    <n v="56504"/>
    <n v="55854"/>
    <m/>
    <m/>
    <m/>
    <m/>
    <m/>
    <m/>
    <m/>
    <m/>
    <n v="0"/>
    <n v="0"/>
    <n v="0"/>
    <n v="0"/>
    <m/>
    <m/>
    <n v="0"/>
    <n v="0"/>
    <m/>
    <m/>
    <m/>
    <m/>
    <m/>
    <m/>
    <m/>
    <m/>
    <n v="0"/>
    <n v="0"/>
    <n v="0"/>
    <n v="0"/>
    <n v="1883.4666666666667"/>
    <n v="1861.8"/>
  </r>
  <r>
    <x v="6"/>
    <s v="Baton Rouge Community College"/>
    <m/>
    <n v="437103"/>
    <x v="6"/>
    <s v="sem"/>
    <s v="sem"/>
    <m/>
    <m/>
    <n v="79050"/>
    <n v="77210"/>
    <n v="3674"/>
    <n v="11789"/>
    <n v="80608"/>
    <n v="81813"/>
    <n v="163332"/>
    <n v="5444.4"/>
    <n v="170812"/>
    <n v="5693.7333333333336"/>
    <n v="1938"/>
    <n v="2302"/>
    <n v="163332"/>
    <n v="170812"/>
    <m/>
    <m/>
    <m/>
    <m/>
    <m/>
    <m/>
    <m/>
    <m/>
    <n v="0"/>
    <n v="0"/>
    <n v="0"/>
    <n v="0"/>
    <m/>
    <m/>
    <n v="0"/>
    <n v="0"/>
    <m/>
    <m/>
    <m/>
    <m/>
    <m/>
    <m/>
    <m/>
    <m/>
    <n v="0"/>
    <n v="0"/>
    <n v="0"/>
    <n v="0"/>
    <n v="5444.4"/>
    <n v="5693.7333333333336"/>
  </r>
  <r>
    <x v="6"/>
    <s v="Delgado Community College "/>
    <m/>
    <n v="158662"/>
    <x v="6"/>
    <s v="sem"/>
    <s v="sem"/>
    <m/>
    <m/>
    <n v="181166"/>
    <n v="186202"/>
    <n v="41163"/>
    <n v="42309"/>
    <n v="187861"/>
    <n v="200159"/>
    <n v="410190"/>
    <n v="13673"/>
    <n v="428670"/>
    <n v="14289"/>
    <n v="1392"/>
    <n v="1393"/>
    <n v="410190"/>
    <n v="428670"/>
    <m/>
    <m/>
    <m/>
    <m/>
    <m/>
    <m/>
    <m/>
    <m/>
    <n v="0"/>
    <n v="0"/>
    <n v="0"/>
    <n v="0"/>
    <m/>
    <m/>
    <n v="0"/>
    <n v="0"/>
    <m/>
    <m/>
    <m/>
    <m/>
    <m/>
    <m/>
    <m/>
    <m/>
    <n v="0"/>
    <n v="0"/>
    <n v="0"/>
    <n v="0"/>
    <n v="13673"/>
    <n v="14289"/>
  </r>
  <r>
    <x v="6"/>
    <s v="Bossier Parish Community College"/>
    <s v="Met the criteria for Two-Year 1 in 2010-11 and 2011-12."/>
    <n v="158431"/>
    <x v="7"/>
    <s v="sem"/>
    <s v="sem"/>
    <m/>
    <m/>
    <n v="56719"/>
    <n v="68306"/>
    <n v="14585"/>
    <n v="17609"/>
    <n v="68692"/>
    <n v="74088"/>
    <n v="139996"/>
    <n v="4666.5333333333338"/>
    <n v="160003"/>
    <n v="5333.4333333333334"/>
    <n v="3945"/>
    <n v="2967"/>
    <n v="139996"/>
    <n v="160003"/>
    <m/>
    <m/>
    <m/>
    <m/>
    <m/>
    <m/>
    <m/>
    <m/>
    <n v="0"/>
    <n v="0"/>
    <n v="0"/>
    <n v="0"/>
    <m/>
    <m/>
    <n v="0"/>
    <n v="0"/>
    <m/>
    <m/>
    <m/>
    <m/>
    <m/>
    <m/>
    <m/>
    <m/>
    <n v="0"/>
    <n v="0"/>
    <n v="0"/>
    <n v="0"/>
    <n v="4666.5333333333338"/>
    <n v="5333.4333333333334"/>
  </r>
  <r>
    <x v="6"/>
    <s v="Louisiana State University at Eunice"/>
    <m/>
    <n v="159407"/>
    <x v="7"/>
    <s v="sem"/>
    <s v="sem"/>
    <m/>
    <m/>
    <n v="30491"/>
    <n v="29837"/>
    <n v="5031"/>
    <n v="4759"/>
    <n v="31718"/>
    <n v="28751"/>
    <n v="67240"/>
    <n v="2241.3333333333335"/>
    <n v="63347"/>
    <n v="2111.5666666666666"/>
    <n v="3776"/>
    <n v="3237"/>
    <n v="67240"/>
    <n v="63347"/>
    <m/>
    <m/>
    <m/>
    <m/>
    <m/>
    <m/>
    <m/>
    <m/>
    <n v="0"/>
    <n v="0"/>
    <n v="0"/>
    <n v="0"/>
    <m/>
    <m/>
    <n v="0"/>
    <n v="0"/>
    <m/>
    <m/>
    <m/>
    <m/>
    <m/>
    <m/>
    <m/>
    <m/>
    <n v="0"/>
    <n v="0"/>
    <n v="0"/>
    <n v="0"/>
    <n v="2241.3333333333335"/>
    <n v="2111.5666666666666"/>
  </r>
  <r>
    <x v="6"/>
    <s v="South Louisiana Community College"/>
    <m/>
    <n v="434061"/>
    <x v="7"/>
    <s v="sem"/>
    <s v="sem"/>
    <m/>
    <m/>
    <n v="32701"/>
    <n v="35271"/>
    <n v="7383"/>
    <n v="7912"/>
    <n v="38836"/>
    <n v="36145"/>
    <n v="78920"/>
    <n v="2630.6666666666665"/>
    <n v="79328"/>
    <n v="2644.2666666666669"/>
    <n v="6214"/>
    <n v="5705"/>
    <n v="78920"/>
    <n v="79328"/>
    <m/>
    <m/>
    <m/>
    <m/>
    <m/>
    <m/>
    <m/>
    <m/>
    <n v="0"/>
    <n v="0"/>
    <n v="0"/>
    <n v="0"/>
    <m/>
    <m/>
    <n v="0"/>
    <n v="0"/>
    <m/>
    <m/>
    <m/>
    <m/>
    <m/>
    <m/>
    <m/>
    <m/>
    <n v="0"/>
    <n v="0"/>
    <n v="0"/>
    <n v="0"/>
    <n v="2630.6666666666665"/>
    <n v="2644.2666666666669"/>
  </r>
  <r>
    <x v="6"/>
    <s v="Louisiana Delta Community College"/>
    <s v="Met the criteria for Two-Year 2 in 2011-12."/>
    <n v="440624"/>
    <x v="8"/>
    <s v="sem"/>
    <s v="sem"/>
    <m/>
    <m/>
    <n v="17661"/>
    <n v="26832"/>
    <n v="5311"/>
    <n v="6985"/>
    <n v="25519"/>
    <n v="29062"/>
    <n v="48491"/>
    <n v="1616.3666666666666"/>
    <n v="62879"/>
    <n v="2095.9666666666667"/>
    <n v="2402"/>
    <n v="3654"/>
    <n v="48491"/>
    <n v="62879"/>
    <m/>
    <m/>
    <m/>
    <m/>
    <m/>
    <m/>
    <m/>
    <m/>
    <n v="0"/>
    <n v="0"/>
    <n v="0"/>
    <n v="0"/>
    <m/>
    <m/>
    <n v="0"/>
    <n v="0"/>
    <m/>
    <m/>
    <m/>
    <m/>
    <m/>
    <m/>
    <m/>
    <m/>
    <n v="0"/>
    <n v="0"/>
    <n v="0"/>
    <n v="0"/>
    <n v="1616.3666666666666"/>
    <n v="2095.9666666666667"/>
  </r>
  <r>
    <x v="6"/>
    <s v="Nunez Community College"/>
    <m/>
    <n v="158884"/>
    <x v="8"/>
    <s v="sem"/>
    <s v="sem"/>
    <m/>
    <m/>
    <n v="15559"/>
    <n v="18029"/>
    <n v="3739"/>
    <n v="4186"/>
    <n v="19304"/>
    <n v="19942"/>
    <n v="38602"/>
    <n v="1286.7333333333333"/>
    <n v="42157"/>
    <n v="1405.2333333333333"/>
    <n v="5001"/>
    <n v="5250"/>
    <n v="38602"/>
    <n v="42157"/>
    <m/>
    <m/>
    <m/>
    <m/>
    <m/>
    <m/>
    <m/>
    <m/>
    <n v="0"/>
    <n v="0"/>
    <n v="0"/>
    <n v="0"/>
    <m/>
    <m/>
    <n v="0"/>
    <n v="0"/>
    <m/>
    <m/>
    <m/>
    <m/>
    <m/>
    <m/>
    <m/>
    <m/>
    <n v="0"/>
    <n v="0"/>
    <n v="0"/>
    <n v="0"/>
    <n v="1286.7333333333333"/>
    <n v="1405.2333333333333"/>
  </r>
  <r>
    <x v="6"/>
    <s v="River Parishes Community College"/>
    <m/>
    <n v="436304"/>
    <x v="8"/>
    <s v="sem"/>
    <s v="sem"/>
    <m/>
    <m/>
    <n v="13852"/>
    <n v="21170"/>
    <n v="4614"/>
    <n v="5848"/>
    <n v="22698"/>
    <n v="23260"/>
    <n v="41164"/>
    <n v="1372.1333333333334"/>
    <n v="50278"/>
    <n v="1675.9333333333334"/>
    <n v="3865"/>
    <n v="5390"/>
    <n v="41164"/>
    <n v="50278"/>
    <m/>
    <m/>
    <m/>
    <m/>
    <m/>
    <m/>
    <m/>
    <m/>
    <n v="0"/>
    <n v="0"/>
    <n v="0"/>
    <n v="0"/>
    <m/>
    <m/>
    <n v="0"/>
    <n v="0"/>
    <m/>
    <m/>
    <m/>
    <m/>
    <m/>
    <m/>
    <m/>
    <m/>
    <n v="0"/>
    <n v="0"/>
    <n v="0"/>
    <n v="0"/>
    <n v="1372.1333333333334"/>
    <n v="1675.9333333333334"/>
  </r>
  <r>
    <x v="6"/>
    <s v="Southern University in Shreveport"/>
    <s v="Met the criteria for Two-Year 2 in 2011-12."/>
    <n v="160649"/>
    <x v="8"/>
    <s v="sem"/>
    <s v="sem"/>
    <m/>
    <m/>
    <n v="31691"/>
    <n v="29670"/>
    <n v="8550"/>
    <n v="7467"/>
    <n v="61604"/>
    <n v="32460"/>
    <n v="101845"/>
    <n v="3394.8333333333335"/>
    <n v="69597"/>
    <n v="2319.9"/>
    <n v="2424"/>
    <n v="2125"/>
    <n v="101845"/>
    <n v="69597"/>
    <m/>
    <m/>
    <m/>
    <m/>
    <m/>
    <m/>
    <m/>
    <m/>
    <n v="0"/>
    <n v="0"/>
    <n v="0"/>
    <n v="0"/>
    <m/>
    <m/>
    <n v="0"/>
    <n v="0"/>
    <m/>
    <m/>
    <m/>
    <m/>
    <m/>
    <m/>
    <m/>
    <m/>
    <n v="0"/>
    <n v="0"/>
    <n v="0"/>
    <n v="0"/>
    <n v="3394.8333333333335"/>
    <n v="2319.9"/>
  </r>
  <r>
    <x v="6"/>
    <s v="Acadiana Technical College"/>
    <m/>
    <n v="159443"/>
    <x v="9"/>
    <s v="sem"/>
    <s v="sem"/>
    <m/>
    <m/>
    <n v="40928"/>
    <n v="41514.5"/>
    <n v="14368"/>
    <n v="14624"/>
    <n v="47398"/>
    <n v="39129"/>
    <n v="102694"/>
    <n v="3423.1333333333332"/>
    <n v="95267.5"/>
    <n v="3175.5833333333335"/>
    <n v="12199"/>
    <n v="7039"/>
    <n v="102694"/>
    <n v="95267.5"/>
    <m/>
    <m/>
    <m/>
    <m/>
    <m/>
    <m/>
    <m/>
    <m/>
    <n v="0"/>
    <n v="0"/>
    <n v="0"/>
    <n v="0"/>
    <m/>
    <m/>
    <n v="0"/>
    <n v="0"/>
    <m/>
    <m/>
    <m/>
    <m/>
    <m/>
    <m/>
    <m/>
    <m/>
    <n v="0"/>
    <n v="0"/>
    <n v="0"/>
    <n v="0"/>
    <n v="3423.1333333333332"/>
    <n v="3175.5833333333335"/>
  </r>
  <r>
    <x v="6"/>
    <s v="Capital Area Technical College"/>
    <m/>
    <n v="158352"/>
    <x v="9"/>
    <s v="sem"/>
    <s v="sem"/>
    <m/>
    <m/>
    <n v="30979"/>
    <n v="31009.5"/>
    <n v="11509"/>
    <n v="9633"/>
    <n v="34248"/>
    <n v="33874"/>
    <n v="76736"/>
    <n v="2557.8666666666668"/>
    <n v="74516.5"/>
    <n v="2483.8833333333332"/>
    <n v="11999"/>
    <n v="13208"/>
    <n v="76736"/>
    <n v="74516.5"/>
    <m/>
    <m/>
    <m/>
    <m/>
    <m/>
    <m/>
    <m/>
    <m/>
    <n v="0"/>
    <n v="0"/>
    <n v="0"/>
    <n v="0"/>
    <m/>
    <m/>
    <n v="0"/>
    <n v="0"/>
    <m/>
    <m/>
    <m/>
    <m/>
    <m/>
    <m/>
    <m/>
    <m/>
    <n v="0"/>
    <n v="0"/>
    <n v="0"/>
    <n v="0"/>
    <n v="2557.8666666666668"/>
    <n v="2483.8833333333332"/>
  </r>
  <r>
    <x v="6"/>
    <s v="Central LA Technical College"/>
    <m/>
    <n v="158088"/>
    <x v="9"/>
    <s v="sem"/>
    <s v="sem"/>
    <m/>
    <m/>
    <n v="31852"/>
    <n v="26500.5"/>
    <n v="11768"/>
    <n v="10503.5"/>
    <n v="35871"/>
    <n v="25255"/>
    <n v="79491"/>
    <n v="2649.7"/>
    <n v="62259"/>
    <n v="2075.3000000000002"/>
    <n v="9278"/>
    <n v="5387"/>
    <n v="79491"/>
    <n v="62259"/>
    <m/>
    <m/>
    <m/>
    <m/>
    <m/>
    <m/>
    <m/>
    <m/>
    <n v="0"/>
    <n v="0"/>
    <n v="0"/>
    <n v="0"/>
    <m/>
    <m/>
    <n v="0"/>
    <n v="0"/>
    <m/>
    <m/>
    <m/>
    <m/>
    <m/>
    <m/>
    <m/>
    <m/>
    <n v="0"/>
    <n v="0"/>
    <n v="0"/>
    <n v="0"/>
    <n v="2649.7"/>
    <n v="2075.3000000000002"/>
  </r>
  <r>
    <x v="6"/>
    <s v="L.E. Fletcher Technical Community College"/>
    <s v="Reclassified: Met the criteria for Technical Institute or College 1 in 2009-10, 2010-11 and 2011-12."/>
    <n v="160481"/>
    <x v="9"/>
    <s v="sem"/>
    <s v="sem"/>
    <m/>
    <m/>
    <n v="15635"/>
    <n v="18142"/>
    <n v="3769"/>
    <n v="3769"/>
    <n v="21478"/>
    <n v="22951"/>
    <n v="40882"/>
    <n v="1362.7333333333333"/>
    <n v="44862"/>
    <n v="1495.4"/>
    <n v="1320"/>
    <n v="1101"/>
    <n v="40882"/>
    <n v="44862"/>
    <m/>
    <m/>
    <m/>
    <m/>
    <m/>
    <m/>
    <m/>
    <m/>
    <n v="0"/>
    <n v="0"/>
    <n v="0"/>
    <n v="0"/>
    <m/>
    <m/>
    <n v="0"/>
    <n v="0"/>
    <m/>
    <m/>
    <m/>
    <m/>
    <m/>
    <m/>
    <m/>
    <m/>
    <n v="0"/>
    <n v="0"/>
    <n v="0"/>
    <n v="0"/>
    <n v="1362.7333333333333"/>
    <n v="1495.4"/>
  </r>
  <r>
    <x v="6"/>
    <s v="Northeast Technical College"/>
    <m/>
    <n v="158769"/>
    <x v="9"/>
    <s v="sem"/>
    <s v="sem"/>
    <m/>
    <m/>
    <n v="25454"/>
    <n v="15188"/>
    <n v="7698"/>
    <n v="6115"/>
    <n v="18284"/>
    <n v="15907"/>
    <n v="51436"/>
    <n v="1714.5333333333333"/>
    <n v="37210"/>
    <n v="1240.3333333333333"/>
    <n v="7723"/>
    <n v="2807"/>
    <n v="51436"/>
    <n v="37210"/>
    <m/>
    <m/>
    <m/>
    <m/>
    <m/>
    <m/>
    <m/>
    <m/>
    <n v="0"/>
    <n v="0"/>
    <n v="0"/>
    <n v="0"/>
    <m/>
    <m/>
    <n v="0"/>
    <n v="0"/>
    <m/>
    <m/>
    <m/>
    <m/>
    <m/>
    <m/>
    <m/>
    <m/>
    <n v="0"/>
    <n v="0"/>
    <n v="0"/>
    <n v="0"/>
    <n v="1714.5333333333333"/>
    <n v="1240.3333333333333"/>
  </r>
  <r>
    <x v="6"/>
    <s v="Northshore Technical College"/>
    <m/>
    <n v="160667"/>
    <x v="9"/>
    <s v="sem"/>
    <s v="sem"/>
    <m/>
    <m/>
    <n v="30575"/>
    <n v="25958.5"/>
    <n v="7223"/>
    <n v="7698.5"/>
    <n v="28175"/>
    <n v="27292"/>
    <n v="65973"/>
    <n v="2199.1"/>
    <n v="60949"/>
    <n v="2031.6333333333334"/>
    <n v="16886"/>
    <n v="12471"/>
    <n v="65973"/>
    <n v="60949"/>
    <m/>
    <m/>
    <m/>
    <m/>
    <m/>
    <m/>
    <m/>
    <m/>
    <n v="0"/>
    <n v="0"/>
    <n v="0"/>
    <n v="0"/>
    <m/>
    <m/>
    <n v="0"/>
    <n v="0"/>
    <m/>
    <m/>
    <m/>
    <m/>
    <m/>
    <m/>
    <m/>
    <m/>
    <n v="0"/>
    <n v="0"/>
    <n v="0"/>
    <n v="0"/>
    <n v="2199.1"/>
    <n v="2031.6333333333334"/>
  </r>
  <r>
    <x v="6"/>
    <s v="Northwest LA Technical College"/>
    <m/>
    <n v="160010"/>
    <x v="9"/>
    <s v="sem"/>
    <s v="sem"/>
    <m/>
    <m/>
    <n v="30782"/>
    <n v="26921.5"/>
    <n v="11629"/>
    <n v="10637"/>
    <n v="29338"/>
    <n v="27743"/>
    <n v="71749"/>
    <n v="2391.6333333333332"/>
    <n v="65301.5"/>
    <n v="2176.7166666666667"/>
    <n v="6959"/>
    <n v="7735"/>
    <n v="71749"/>
    <n v="65301.5"/>
    <m/>
    <m/>
    <m/>
    <m/>
    <m/>
    <m/>
    <m/>
    <m/>
    <n v="0"/>
    <n v="0"/>
    <n v="0"/>
    <n v="0"/>
    <m/>
    <m/>
    <n v="0"/>
    <n v="0"/>
    <m/>
    <m/>
    <m/>
    <m/>
    <m/>
    <m/>
    <m/>
    <m/>
    <n v="0"/>
    <n v="0"/>
    <n v="0"/>
    <n v="0"/>
    <n v="2391.6333333333332"/>
    <n v="2176.7166666666667"/>
  </r>
  <r>
    <x v="6"/>
    <s v="South Central LA Technical College"/>
    <m/>
    <n v="160913"/>
    <x v="9"/>
    <s v="sem"/>
    <s v="sem"/>
    <m/>
    <m/>
    <n v="19251"/>
    <n v="22715"/>
    <n v="5508"/>
    <n v="4942"/>
    <n v="22691"/>
    <n v="23424"/>
    <n v="47450"/>
    <n v="1581.6666666666667"/>
    <n v="51081"/>
    <n v="1702.7"/>
    <n v="12026"/>
    <n v="17017"/>
    <n v="47450"/>
    <n v="51081"/>
    <m/>
    <m/>
    <m/>
    <m/>
    <m/>
    <m/>
    <m/>
    <m/>
    <n v="0"/>
    <n v="0"/>
    <n v="0"/>
    <n v="0"/>
    <m/>
    <m/>
    <n v="0"/>
    <n v="0"/>
    <m/>
    <m/>
    <m/>
    <m/>
    <m/>
    <m/>
    <m/>
    <m/>
    <n v="0"/>
    <n v="0"/>
    <n v="0"/>
    <n v="0"/>
    <n v="1581.6666666666667"/>
    <n v="1702.7"/>
  </r>
  <r>
    <x v="6"/>
    <s v="Sowela Technical Community College"/>
    <m/>
    <n v="160579"/>
    <x v="9"/>
    <s v="sem"/>
    <s v="sem"/>
    <m/>
    <m/>
    <n v="24073"/>
    <n v="29361"/>
    <n v="6128"/>
    <n v="7631"/>
    <n v="28314"/>
    <n v="31326"/>
    <n v="58515"/>
    <n v="1950.5"/>
    <n v="68318"/>
    <n v="2277.2666666666669"/>
    <n v="2079"/>
    <n v="4879"/>
    <n v="58515"/>
    <n v="68318"/>
    <m/>
    <m/>
    <m/>
    <m/>
    <m/>
    <m/>
    <m/>
    <m/>
    <n v="0"/>
    <n v="0"/>
    <n v="0"/>
    <n v="0"/>
    <m/>
    <m/>
    <n v="0"/>
    <n v="0"/>
    <m/>
    <m/>
    <m/>
    <m/>
    <m/>
    <m/>
    <m/>
    <m/>
    <n v="0"/>
    <n v="0"/>
    <n v="0"/>
    <n v="0"/>
    <n v="1950.5"/>
    <n v="2277.2666666666669"/>
  </r>
  <r>
    <x v="7"/>
    <s v="University of Maryland College Park"/>
    <m/>
    <n v="163286"/>
    <x v="0"/>
    <s v="sem"/>
    <s v="sem"/>
    <n v="11693"/>
    <n v="12603"/>
    <n v="367102"/>
    <n v="369475"/>
    <n v="39478"/>
    <n v="38207"/>
    <n v="380945"/>
    <n v="379654"/>
    <n v="799218"/>
    <n v="26640.6"/>
    <n v="799939"/>
    <n v="26664.633333333335"/>
    <m/>
    <m/>
    <n v="0"/>
    <n v="0"/>
    <m/>
    <m/>
    <m/>
    <m/>
    <m/>
    <m/>
    <m/>
    <m/>
    <n v="0"/>
    <n v="0"/>
    <n v="0"/>
    <n v="0"/>
    <m/>
    <m/>
    <n v="0"/>
    <n v="0"/>
    <n v="2380"/>
    <n v="2517"/>
    <n v="68189.5"/>
    <n v="68369"/>
    <n v="12528"/>
    <n v="12990"/>
    <n v="73447"/>
    <n v="74997"/>
    <n v="156544.5"/>
    <n v="6522.6875"/>
    <n v="158873"/>
    <n v="6619.708333333333"/>
    <n v="33163.287499999999"/>
    <n v="33284.341666666667"/>
  </r>
  <r>
    <x v="7"/>
    <s v="Morgan State University"/>
    <s v="Reclassified: Met the criteria for  Four-Year 2 in 2009-10, 2010-11 and 2011-12."/>
    <n v="163453"/>
    <x v="1"/>
    <s v="sem"/>
    <s v="sem"/>
    <n v="548"/>
    <n v="1117"/>
    <n v="85965"/>
    <n v="91176"/>
    <n v="2699"/>
    <n v="7556"/>
    <n v="92008"/>
    <n v="91204"/>
    <n v="181220"/>
    <n v="6040.666666666667"/>
    <n v="191053"/>
    <n v="6368.4333333333334"/>
    <m/>
    <m/>
    <n v="0"/>
    <n v="0"/>
    <m/>
    <m/>
    <m/>
    <m/>
    <m/>
    <m/>
    <m/>
    <m/>
    <n v="0"/>
    <n v="0"/>
    <n v="0"/>
    <n v="0"/>
    <m/>
    <m/>
    <n v="0"/>
    <n v="0"/>
    <n v="0"/>
    <n v="36"/>
    <n v="8382"/>
    <n v="9482"/>
    <n v="300"/>
    <n v="869"/>
    <n v="9221"/>
    <n v="10296"/>
    <n v="17903"/>
    <n v="745.95833333333337"/>
    <n v="20683"/>
    <n v="861.79166666666663"/>
    <n v="6786.625"/>
    <n v="7230.2250000000004"/>
  </r>
  <r>
    <x v="7"/>
    <s v="University of Maryland, Baltimore County"/>
    <m/>
    <n v="163268"/>
    <x v="1"/>
    <s v="sem"/>
    <s v="sem"/>
    <n v="4591"/>
    <n v="4810"/>
    <n v="129726.5"/>
    <n v="132978.5"/>
    <n v="16981.5"/>
    <n v="16631.5"/>
    <n v="139121.5"/>
    <n v="143350"/>
    <n v="290420.5"/>
    <n v="9680.6833333333325"/>
    <n v="297770"/>
    <n v="9925.6666666666661"/>
    <m/>
    <m/>
    <n v="0"/>
    <n v="0"/>
    <m/>
    <m/>
    <m/>
    <m/>
    <m/>
    <m/>
    <m/>
    <m/>
    <n v="0"/>
    <n v="0"/>
    <n v="0"/>
    <n v="0"/>
    <m/>
    <m/>
    <n v="0"/>
    <n v="0"/>
    <n v="190"/>
    <n v="73"/>
    <n v="14872"/>
    <n v="15580"/>
    <n v="3669"/>
    <n v="2673"/>
    <n v="16163"/>
    <n v="15512"/>
    <n v="34894"/>
    <n v="1453.9166666666667"/>
    <n v="33838"/>
    <n v="1409.9166666666667"/>
    <n v="11134.599999999999"/>
    <n v="11335.583333333332"/>
  </r>
  <r>
    <x v="7"/>
    <s v="Towson University "/>
    <m/>
    <n v="164076"/>
    <x v="2"/>
    <s v="sem"/>
    <s v="sem"/>
    <n v="6513"/>
    <n v="7090"/>
    <n v="229000"/>
    <n v="230185.5"/>
    <n v="27103"/>
    <n v="25979"/>
    <n v="244099.5"/>
    <n v="243052"/>
    <n v="506715.5"/>
    <n v="16890.516666666666"/>
    <n v="506306.5"/>
    <n v="16876.883333333335"/>
    <m/>
    <m/>
    <n v="0"/>
    <n v="0"/>
    <m/>
    <m/>
    <m/>
    <m/>
    <m/>
    <m/>
    <m/>
    <m/>
    <n v="0"/>
    <n v="0"/>
    <n v="0"/>
    <n v="0"/>
    <m/>
    <m/>
    <n v="0"/>
    <n v="0"/>
    <n v="1237"/>
    <n v="1279"/>
    <n v="22850.5"/>
    <n v="23762.5"/>
    <n v="9437"/>
    <n v="9276"/>
    <n v="24607"/>
    <n v="23201.5"/>
    <n v="58131.5"/>
    <n v="2422.1458333333335"/>
    <n v="57519"/>
    <n v="2396.625"/>
    <n v="19312.662499999999"/>
    <n v="19273.508333333335"/>
  </r>
  <r>
    <x v="7"/>
    <s v="Bowie State University "/>
    <m/>
    <n v="162007"/>
    <x v="3"/>
    <s v="sem"/>
    <s v="sem"/>
    <n v="1428"/>
    <n v="1098"/>
    <n v="55706"/>
    <n v="55954"/>
    <n v="4645"/>
    <n v="6095"/>
    <n v="59941"/>
    <n v="59470"/>
    <n v="121720"/>
    <n v="4057.3333333333335"/>
    <n v="122617"/>
    <n v="4087.2333333333331"/>
    <m/>
    <m/>
    <n v="0"/>
    <n v="0"/>
    <m/>
    <m/>
    <m/>
    <m/>
    <m/>
    <m/>
    <m/>
    <m/>
    <n v="0"/>
    <n v="0"/>
    <n v="0"/>
    <n v="0"/>
    <m/>
    <m/>
    <n v="0"/>
    <n v="0"/>
    <n v="402"/>
    <n v="225"/>
    <n v="7250"/>
    <n v="7000"/>
    <n v="1074"/>
    <n v="1138"/>
    <n v="7606"/>
    <n v="7603"/>
    <n v="16332"/>
    <n v="680.5"/>
    <n v="15966"/>
    <n v="665.25"/>
    <n v="4737.8333333333339"/>
    <n v="4752.4833333333336"/>
  </r>
  <r>
    <x v="7"/>
    <s v="Coppin State University"/>
    <s v="Met the criteria for Four-Year 5 in 2010-11 and 2011-12."/>
    <n v="162283"/>
    <x v="3"/>
    <s v="sem"/>
    <s v="sem"/>
    <n v="941"/>
    <n v="858"/>
    <n v="43335"/>
    <n v="41129"/>
    <n v="5706"/>
    <n v="6593"/>
    <n v="43485"/>
    <n v="42997"/>
    <n v="93467"/>
    <n v="3115.5666666666666"/>
    <n v="91577"/>
    <n v="3052.5666666666666"/>
    <m/>
    <m/>
    <n v="0"/>
    <n v="0"/>
    <m/>
    <m/>
    <m/>
    <m/>
    <m/>
    <m/>
    <m/>
    <m/>
    <n v="0"/>
    <n v="0"/>
    <n v="0"/>
    <n v="0"/>
    <m/>
    <m/>
    <n v="0"/>
    <n v="0"/>
    <n v="170"/>
    <n v="150"/>
    <n v="3816"/>
    <n v="3230"/>
    <n v="594"/>
    <n v="577"/>
    <n v="2964"/>
    <n v="2909"/>
    <n v="7544"/>
    <n v="314.33333333333331"/>
    <n v="6866"/>
    <n v="286.08333333333331"/>
    <n v="3429.9"/>
    <n v="3338.65"/>
  </r>
  <r>
    <x v="7"/>
    <s v="Frostburg State University "/>
    <m/>
    <n v="162584"/>
    <x v="3"/>
    <s v="sem"/>
    <s v="sem"/>
    <n v="2274"/>
    <n v="2341"/>
    <n v="62202.5"/>
    <n v="63707.5"/>
    <n v="4676"/>
    <n v="4869"/>
    <n v="67931.5"/>
    <n v="66062.5"/>
    <n v="137084"/>
    <n v="4569.4666666666662"/>
    <n v="136980"/>
    <n v="4566"/>
    <m/>
    <m/>
    <n v="0"/>
    <n v="0"/>
    <m/>
    <m/>
    <m/>
    <m/>
    <m/>
    <m/>
    <m/>
    <m/>
    <n v="0"/>
    <n v="0"/>
    <n v="0"/>
    <n v="0"/>
    <m/>
    <m/>
    <n v="0"/>
    <n v="0"/>
    <n v="462"/>
    <n v="435"/>
    <n v="4246"/>
    <n v="4102"/>
    <n v="2247"/>
    <n v="1979"/>
    <n v="4168"/>
    <n v="4398.5"/>
    <n v="11123"/>
    <n v="463.45833333333331"/>
    <n v="10914.5"/>
    <n v="454.77083333333331"/>
    <n v="5032.9249999999993"/>
    <n v="5020.770833333333"/>
  </r>
  <r>
    <x v="7"/>
    <s v="Salisbury University "/>
    <m/>
    <n v="163851"/>
    <x v="3"/>
    <s v="sem"/>
    <s v="sem"/>
    <n v="6229"/>
    <n v="6016"/>
    <n v="103373"/>
    <n v="105704"/>
    <n v="6229"/>
    <n v="6776"/>
    <n v="110282"/>
    <n v="113357"/>
    <n v="226113"/>
    <n v="7537.1"/>
    <n v="231853"/>
    <n v="7728.4333333333334"/>
    <m/>
    <m/>
    <n v="0"/>
    <n v="0"/>
    <m/>
    <m/>
    <m/>
    <m/>
    <m/>
    <m/>
    <m/>
    <m/>
    <n v="0"/>
    <n v="0"/>
    <n v="0"/>
    <n v="0"/>
    <m/>
    <m/>
    <n v="0"/>
    <n v="0"/>
    <n v="377"/>
    <n v="358"/>
    <n v="4437"/>
    <n v="4679"/>
    <n v="1328"/>
    <n v="1523"/>
    <n v="4735"/>
    <n v="5008"/>
    <n v="10877"/>
    <n v="453.20833333333331"/>
    <n v="11568"/>
    <n v="482"/>
    <n v="7990.3083333333334"/>
    <n v="8210.4333333333343"/>
  </r>
  <r>
    <x v="7"/>
    <s v="University of Baltimore"/>
    <m/>
    <n v="161873"/>
    <x v="3"/>
    <s v="sem"/>
    <s v="sem"/>
    <n v="75"/>
    <n v="45"/>
    <n v="30411"/>
    <n v="32299"/>
    <n v="4508"/>
    <n v="4338"/>
    <n v="34339"/>
    <n v="34822"/>
    <n v="69333"/>
    <n v="2311.1"/>
    <n v="71504"/>
    <n v="2383.4666666666667"/>
    <m/>
    <m/>
    <n v="0"/>
    <n v="0"/>
    <m/>
    <m/>
    <m/>
    <m/>
    <m/>
    <m/>
    <m/>
    <m/>
    <n v="0"/>
    <n v="0"/>
    <n v="0"/>
    <n v="0"/>
    <m/>
    <m/>
    <n v="0"/>
    <n v="0"/>
    <n v="36"/>
    <n v="45"/>
    <n v="25403"/>
    <n v="25269"/>
    <n v="4927"/>
    <n v="4847"/>
    <n v="27164"/>
    <n v="26381"/>
    <n v="57530"/>
    <n v="2397.0833333333335"/>
    <n v="56542"/>
    <n v="2355.9166666666665"/>
    <n v="4708.1833333333334"/>
    <n v="4739.3833333333332"/>
  </r>
  <r>
    <x v="7"/>
    <s v="University of Maryland Eastern Shore "/>
    <m/>
    <n v="163338"/>
    <x v="3"/>
    <s v="sem"/>
    <s v="sem"/>
    <n v="1458"/>
    <n v="1412.5"/>
    <n v="53501"/>
    <n v="52785"/>
    <n v="4393"/>
    <n v="4186"/>
    <n v="58125"/>
    <n v="55688"/>
    <n v="117477"/>
    <n v="3915.9"/>
    <n v="114071.5"/>
    <n v="3802.3833333333332"/>
    <m/>
    <m/>
    <n v="0"/>
    <n v="0"/>
    <m/>
    <m/>
    <m/>
    <m/>
    <m/>
    <m/>
    <m/>
    <m/>
    <n v="0"/>
    <n v="0"/>
    <n v="0"/>
    <n v="0"/>
    <m/>
    <m/>
    <n v="0"/>
    <n v="0"/>
    <n v="244"/>
    <n v="292"/>
    <n v="3447"/>
    <n v="5190"/>
    <n v="1280"/>
    <n v="1261"/>
    <n v="4121"/>
    <n v="7285.5"/>
    <n v="9092"/>
    <n v="378.83333333333331"/>
    <n v="14028.5"/>
    <n v="584.52083333333337"/>
    <n v="4294.7333333333336"/>
    <n v="4386.9041666666662"/>
  </r>
  <r>
    <x v="7"/>
    <s v="Saint Mary's College of Maryland"/>
    <s v="Met the criteria for Four-Year 5 in 2010-11 and 2011-12."/>
    <n v="163912"/>
    <x v="5"/>
    <s v="sem"/>
    <s v="sem"/>
    <n v="0"/>
    <n v="0"/>
    <n v="29765"/>
    <n v="30983.5"/>
    <n v="1376"/>
    <n v="1368"/>
    <n v="31693.5"/>
    <n v="32801"/>
    <n v="62834.5"/>
    <n v="2094.4833333333331"/>
    <n v="65152.5"/>
    <n v="2171.75"/>
    <m/>
    <m/>
    <n v="0"/>
    <n v="0"/>
    <m/>
    <m/>
    <m/>
    <m/>
    <m/>
    <m/>
    <m/>
    <m/>
    <n v="0"/>
    <n v="0"/>
    <n v="0"/>
    <n v="0"/>
    <m/>
    <m/>
    <n v="0"/>
    <n v="0"/>
    <n v="0"/>
    <n v="0"/>
    <n v="883"/>
    <n v="640"/>
    <n v="516"/>
    <n v="433"/>
    <n v="538"/>
    <n v="504"/>
    <n v="1937"/>
    <n v="80.708333333333329"/>
    <n v="1577"/>
    <n v="65.708333333333329"/>
    <n v="2175.1916666666666"/>
    <n v="2237.4583333333335"/>
  </r>
  <r>
    <x v="7"/>
    <s v="Anne Arundel Community College "/>
    <m/>
    <n v="161767"/>
    <x v="6"/>
    <s v="sem"/>
    <s v="sem"/>
    <n v="3344"/>
    <n v="3846"/>
    <n v="136501"/>
    <n v="139707"/>
    <n v="36181.5"/>
    <n v="35448"/>
    <n v="153948"/>
    <n v="152723"/>
    <n v="329974.5"/>
    <n v="10999.15"/>
    <n v="331724"/>
    <n v="11057.466666666667"/>
    <m/>
    <m/>
    <n v="0"/>
    <n v="0"/>
    <m/>
    <m/>
    <m/>
    <m/>
    <m/>
    <m/>
    <m/>
    <m/>
    <n v="0"/>
    <n v="0"/>
    <n v="0"/>
    <n v="0"/>
    <m/>
    <m/>
    <n v="0"/>
    <n v="0"/>
    <m/>
    <m/>
    <m/>
    <m/>
    <m/>
    <m/>
    <m/>
    <m/>
    <n v="0"/>
    <n v="0"/>
    <n v="0"/>
    <n v="0"/>
    <n v="10999.15"/>
    <n v="11057.466666666667"/>
  </r>
  <r>
    <x v="7"/>
    <s v="College of Southern Maryland"/>
    <s v="Reclassified: Met the criteria for Two-Year 1 in 2009-10, 2010-11, and 2011-12."/>
    <n v="162122"/>
    <x v="6"/>
    <s v="sem"/>
    <s v="sem"/>
    <n v="0"/>
    <n v="0"/>
    <n v="70123"/>
    <n v="72079"/>
    <n v="15041"/>
    <n v="16515"/>
    <n v="78902"/>
    <n v="81013"/>
    <n v="164066"/>
    <n v="5468.8666666666668"/>
    <n v="169607"/>
    <n v="5653.5666666666666"/>
    <m/>
    <m/>
    <n v="0"/>
    <n v="0"/>
    <m/>
    <m/>
    <m/>
    <m/>
    <m/>
    <m/>
    <m/>
    <m/>
    <n v="0"/>
    <n v="0"/>
    <n v="0"/>
    <n v="0"/>
    <m/>
    <m/>
    <n v="0"/>
    <n v="0"/>
    <m/>
    <m/>
    <m/>
    <m/>
    <m/>
    <m/>
    <m/>
    <m/>
    <n v="0"/>
    <n v="0"/>
    <n v="0"/>
    <n v="0"/>
    <n v="5468.8666666666668"/>
    <n v="5653.5666666666666"/>
  </r>
  <r>
    <x v="7"/>
    <s v="Community College of Baltimore County (all campuses)"/>
    <m/>
    <n v="434672"/>
    <x v="6"/>
    <s v="sem"/>
    <s v="sem"/>
    <n v="9749"/>
    <n v="9757"/>
    <n v="193428"/>
    <n v="200719.5"/>
    <n v="46022"/>
    <n v="44985.5"/>
    <n v="228185"/>
    <n v="227945.5"/>
    <n v="477384"/>
    <n v="15912.8"/>
    <n v="483407.5"/>
    <n v="16113.583333333334"/>
    <m/>
    <m/>
    <n v="0"/>
    <n v="0"/>
    <m/>
    <m/>
    <m/>
    <m/>
    <m/>
    <m/>
    <m/>
    <m/>
    <n v="0"/>
    <n v="0"/>
    <n v="0"/>
    <n v="0"/>
    <m/>
    <m/>
    <n v="0"/>
    <n v="0"/>
    <m/>
    <m/>
    <m/>
    <m/>
    <m/>
    <m/>
    <m/>
    <m/>
    <n v="0"/>
    <n v="0"/>
    <n v="0"/>
    <n v="0"/>
    <n v="15912.8"/>
    <n v="16113.583333333334"/>
  </r>
  <r>
    <x v="7"/>
    <s v="Howard Community College "/>
    <s v="Reclassified: Met the criteria for Two-Year 1 in 2009-10, 2010-11, and 2011-12."/>
    <n v="162779"/>
    <x v="6"/>
    <s v="sem"/>
    <s v="sem"/>
    <n v="5343"/>
    <n v="6247"/>
    <n v="72145"/>
    <n v="77777"/>
    <n v="15859"/>
    <n v="18888"/>
    <n v="84499"/>
    <n v="88315"/>
    <n v="177846"/>
    <n v="5928.2"/>
    <n v="191227"/>
    <n v="6374.2333333333336"/>
    <m/>
    <m/>
    <n v="0"/>
    <n v="0"/>
    <m/>
    <m/>
    <m/>
    <m/>
    <m/>
    <m/>
    <m/>
    <m/>
    <n v="0"/>
    <n v="0"/>
    <n v="0"/>
    <n v="0"/>
    <m/>
    <m/>
    <n v="0"/>
    <n v="0"/>
    <m/>
    <m/>
    <m/>
    <m/>
    <m/>
    <m/>
    <m/>
    <m/>
    <n v="0"/>
    <n v="0"/>
    <n v="0"/>
    <n v="0"/>
    <n v="5928.2"/>
    <n v="6374.2333333333336"/>
  </r>
  <r>
    <x v="7"/>
    <s v="Montgomery College (all campuses)"/>
    <m/>
    <n v="163426"/>
    <x v="6"/>
    <s v="sem"/>
    <s v="sem"/>
    <n v="3537.6"/>
    <n v="4081"/>
    <n v="239363.6"/>
    <n v="224555"/>
    <n v="44224.800000000003"/>
    <n v="63899"/>
    <n v="274351.3"/>
    <n v="246464"/>
    <n v="561477.30000000005"/>
    <n v="18715.91"/>
    <n v="538999"/>
    <n v="17966.633333333335"/>
    <m/>
    <m/>
    <n v="0"/>
    <n v="0"/>
    <m/>
    <m/>
    <m/>
    <m/>
    <m/>
    <m/>
    <m/>
    <m/>
    <n v="0"/>
    <n v="0"/>
    <n v="0"/>
    <n v="0"/>
    <m/>
    <m/>
    <n v="0"/>
    <n v="0"/>
    <m/>
    <m/>
    <m/>
    <m/>
    <m/>
    <m/>
    <m/>
    <m/>
    <n v="0"/>
    <n v="0"/>
    <n v="0"/>
    <n v="0"/>
    <n v="18715.91"/>
    <n v="17966.633333333335"/>
  </r>
  <r>
    <x v="7"/>
    <s v="Prince George's Community College "/>
    <m/>
    <n v="163657"/>
    <x v="6"/>
    <s v="sem"/>
    <s v="sem"/>
    <n v="0"/>
    <n v="0"/>
    <n v="161622"/>
    <n v="164335"/>
    <n v="55242"/>
    <n v="59441"/>
    <n v="171408"/>
    <n v="167408"/>
    <n v="388272"/>
    <n v="12942.4"/>
    <n v="391184"/>
    <n v="13039.466666666667"/>
    <m/>
    <m/>
    <n v="0"/>
    <n v="0"/>
    <m/>
    <m/>
    <m/>
    <m/>
    <m/>
    <m/>
    <m/>
    <m/>
    <n v="0"/>
    <n v="0"/>
    <n v="0"/>
    <n v="0"/>
    <m/>
    <m/>
    <n v="0"/>
    <n v="0"/>
    <m/>
    <m/>
    <m/>
    <m/>
    <m/>
    <m/>
    <m/>
    <m/>
    <n v="0"/>
    <n v="0"/>
    <n v="0"/>
    <n v="0"/>
    <n v="12942.4"/>
    <n v="13039.466666666667"/>
  </r>
  <r>
    <x v="7"/>
    <s v="Allegany College of Maryland"/>
    <m/>
    <n v="161688"/>
    <x v="7"/>
    <s v="sem"/>
    <s v="sem"/>
    <n v="0"/>
    <n v="0"/>
    <n v="36084"/>
    <n v="36965"/>
    <n v="5224"/>
    <n v="5220"/>
    <n v="40453"/>
    <n v="37813"/>
    <n v="81761"/>
    <n v="2725.3666666666668"/>
    <n v="79998"/>
    <n v="2666.6"/>
    <m/>
    <m/>
    <n v="0"/>
    <n v="0"/>
    <m/>
    <m/>
    <m/>
    <m/>
    <m/>
    <m/>
    <m/>
    <m/>
    <n v="0"/>
    <n v="0"/>
    <n v="0"/>
    <n v="0"/>
    <m/>
    <m/>
    <n v="0"/>
    <n v="0"/>
    <m/>
    <m/>
    <m/>
    <m/>
    <m/>
    <m/>
    <m/>
    <m/>
    <n v="0"/>
    <n v="0"/>
    <n v="0"/>
    <n v="0"/>
    <n v="2725.3666666666668"/>
    <n v="2666.6"/>
  </r>
  <r>
    <x v="7"/>
    <s v="Baltimore City Community College"/>
    <s v="Met the criteria for Two-Year 1 in 2011-12."/>
    <n v="161864"/>
    <x v="7"/>
    <s v="sem"/>
    <s v="sem"/>
    <n v="1950"/>
    <n v="2197"/>
    <n v="64814"/>
    <n v="67223"/>
    <n v="14450"/>
    <n v="13362"/>
    <n v="66352"/>
    <n v="68377"/>
    <n v="147566"/>
    <n v="4918.8666666666668"/>
    <n v="151159"/>
    <n v="5038.6333333333332"/>
    <m/>
    <m/>
    <n v="0"/>
    <n v="0"/>
    <m/>
    <m/>
    <m/>
    <m/>
    <m/>
    <m/>
    <m/>
    <m/>
    <n v="0"/>
    <n v="0"/>
    <n v="0"/>
    <n v="0"/>
    <m/>
    <m/>
    <n v="0"/>
    <n v="0"/>
    <m/>
    <m/>
    <m/>
    <m/>
    <m/>
    <m/>
    <m/>
    <m/>
    <n v="0"/>
    <n v="0"/>
    <n v="0"/>
    <n v="0"/>
    <n v="4918.8666666666668"/>
    <n v="5038.6333333333332"/>
  </r>
  <r>
    <x v="7"/>
    <s v="Carroll Community College"/>
    <m/>
    <n v="405872"/>
    <x v="7"/>
    <s v="sem"/>
    <s v="sem"/>
    <n v="1682"/>
    <n v="1916.5"/>
    <n v="33271"/>
    <n v="35060"/>
    <n v="6230"/>
    <n v="6582"/>
    <n v="38681"/>
    <n v="38335"/>
    <n v="79864"/>
    <n v="2662.1333333333332"/>
    <n v="81893.5"/>
    <n v="2729.7833333333333"/>
    <m/>
    <m/>
    <n v="0"/>
    <n v="0"/>
    <m/>
    <m/>
    <m/>
    <m/>
    <m/>
    <m/>
    <m/>
    <m/>
    <n v="0"/>
    <n v="0"/>
    <n v="0"/>
    <n v="0"/>
    <m/>
    <m/>
    <n v="0"/>
    <n v="0"/>
    <m/>
    <m/>
    <m/>
    <m/>
    <m/>
    <m/>
    <m/>
    <m/>
    <n v="0"/>
    <n v="0"/>
    <n v="0"/>
    <n v="0"/>
    <n v="2662.1333333333332"/>
    <n v="2729.7833333333333"/>
  </r>
  <r>
    <x v="7"/>
    <s v="Frederick Community College "/>
    <m/>
    <n v="162557"/>
    <x v="7"/>
    <s v="sem"/>
    <s v="sem"/>
    <n v="2489"/>
    <n v="2549"/>
    <n v="52932"/>
    <n v="53146"/>
    <n v="11495"/>
    <n v="12954"/>
    <n v="55349"/>
    <n v="55561"/>
    <n v="122265"/>
    <n v="4075.5"/>
    <n v="124210"/>
    <n v="4140.333333333333"/>
    <m/>
    <m/>
    <n v="0"/>
    <n v="0"/>
    <m/>
    <m/>
    <m/>
    <m/>
    <m/>
    <m/>
    <m/>
    <m/>
    <n v="0"/>
    <n v="0"/>
    <n v="0"/>
    <n v="0"/>
    <m/>
    <m/>
    <n v="0"/>
    <n v="0"/>
    <m/>
    <m/>
    <m/>
    <m/>
    <m/>
    <m/>
    <m/>
    <m/>
    <n v="0"/>
    <n v="0"/>
    <n v="0"/>
    <n v="0"/>
    <n v="4075.5"/>
    <n v="4140.333333333333"/>
  </r>
  <r>
    <x v="7"/>
    <s v="Hagerstown Community College "/>
    <m/>
    <n v="162690"/>
    <x v="7"/>
    <s v="sem"/>
    <s v="sem"/>
    <n v="0"/>
    <n v="0"/>
    <n v="38189"/>
    <n v="39049"/>
    <n v="11600"/>
    <n v="12662"/>
    <n v="43106"/>
    <n v="43297"/>
    <n v="92895"/>
    <n v="3096.5"/>
    <n v="95008"/>
    <n v="3166.9333333333334"/>
    <m/>
    <m/>
    <n v="0"/>
    <n v="0"/>
    <m/>
    <m/>
    <m/>
    <m/>
    <m/>
    <m/>
    <m/>
    <m/>
    <n v="0"/>
    <n v="0"/>
    <n v="0"/>
    <n v="0"/>
    <m/>
    <m/>
    <n v="0"/>
    <n v="0"/>
    <m/>
    <m/>
    <m/>
    <m/>
    <m/>
    <m/>
    <m/>
    <m/>
    <n v="0"/>
    <n v="0"/>
    <n v="0"/>
    <n v="0"/>
    <n v="3096.5"/>
    <n v="3166.9333333333334"/>
  </r>
  <r>
    <x v="7"/>
    <s v="Harford Community College "/>
    <m/>
    <n v="162706"/>
    <x v="7"/>
    <s v="sem"/>
    <s v="sem"/>
    <n v="1971"/>
    <n v="2192"/>
    <n v="56456"/>
    <n v="57089.5"/>
    <n v="10813.5"/>
    <n v="11772"/>
    <n v="64260"/>
    <n v="63740.5"/>
    <n v="133500.5"/>
    <n v="4450.0166666666664"/>
    <n v="134794"/>
    <n v="4493.1333333333332"/>
    <m/>
    <m/>
    <n v="0"/>
    <n v="0"/>
    <m/>
    <m/>
    <m/>
    <m/>
    <m/>
    <m/>
    <m/>
    <m/>
    <n v="0"/>
    <n v="0"/>
    <n v="0"/>
    <n v="0"/>
    <m/>
    <m/>
    <n v="0"/>
    <n v="0"/>
    <m/>
    <m/>
    <m/>
    <m/>
    <m/>
    <m/>
    <m/>
    <m/>
    <n v="0"/>
    <n v="0"/>
    <n v="0"/>
    <n v="0"/>
    <n v="4450.0166666666664"/>
    <n v="4493.1333333333332"/>
  </r>
  <r>
    <x v="7"/>
    <s v="Wor-Wic Community College "/>
    <m/>
    <n v="164313"/>
    <x v="7"/>
    <s v="sem"/>
    <s v="sem"/>
    <n v="0"/>
    <n v="0"/>
    <n v="32877"/>
    <n v="32278"/>
    <n v="8671"/>
    <n v="8106"/>
    <n v="35802"/>
    <n v="36516"/>
    <n v="77350"/>
    <n v="2578.3333333333335"/>
    <n v="76900"/>
    <n v="2563.3333333333335"/>
    <m/>
    <m/>
    <n v="0"/>
    <n v="0"/>
    <m/>
    <m/>
    <m/>
    <m/>
    <m/>
    <m/>
    <m/>
    <m/>
    <n v="0"/>
    <n v="0"/>
    <n v="0"/>
    <n v="0"/>
    <m/>
    <m/>
    <n v="0"/>
    <n v="0"/>
    <m/>
    <m/>
    <m/>
    <m/>
    <m/>
    <m/>
    <m/>
    <m/>
    <n v="0"/>
    <n v="0"/>
    <n v="0"/>
    <n v="0"/>
    <n v="2578.3333333333335"/>
    <n v="2563.3333333333335"/>
  </r>
  <r>
    <x v="7"/>
    <s v="Cecil Community College "/>
    <m/>
    <n v="162104"/>
    <x v="8"/>
    <s v="sem"/>
    <s v="sem"/>
    <n v="0"/>
    <n v="0"/>
    <n v="21627.5"/>
    <n v="21166"/>
    <n v="3498"/>
    <n v="3584"/>
    <n v="23792"/>
    <n v="24301"/>
    <n v="48917.5"/>
    <n v="1630.5833333333333"/>
    <n v="49051"/>
    <n v="1635.0333333333333"/>
    <m/>
    <m/>
    <n v="0"/>
    <n v="0"/>
    <m/>
    <m/>
    <m/>
    <m/>
    <m/>
    <m/>
    <m/>
    <m/>
    <n v="0"/>
    <n v="0"/>
    <n v="0"/>
    <n v="0"/>
    <m/>
    <m/>
    <n v="0"/>
    <n v="0"/>
    <m/>
    <m/>
    <m/>
    <m/>
    <m/>
    <m/>
    <m/>
    <m/>
    <n v="0"/>
    <n v="0"/>
    <n v="0"/>
    <n v="0"/>
    <n v="1630.5833333333333"/>
    <n v="1635.0333333333333"/>
  </r>
  <r>
    <x v="7"/>
    <s v="Chesapeake College "/>
    <m/>
    <n v="162168"/>
    <x v="8"/>
    <s v="sem"/>
    <s v="sem"/>
    <n v="0"/>
    <n v="0"/>
    <n v="24738"/>
    <n v="24227"/>
    <n v="3174"/>
    <n v="2920"/>
    <n v="26425"/>
    <n v="25825"/>
    <n v="54337"/>
    <n v="1811.2333333333333"/>
    <n v="52972"/>
    <n v="1765.7333333333333"/>
    <m/>
    <m/>
    <n v="0"/>
    <n v="0"/>
    <m/>
    <m/>
    <m/>
    <m/>
    <m/>
    <m/>
    <m/>
    <m/>
    <n v="0"/>
    <n v="0"/>
    <n v="0"/>
    <n v="0"/>
    <m/>
    <m/>
    <n v="0"/>
    <n v="0"/>
    <m/>
    <m/>
    <m/>
    <m/>
    <m/>
    <m/>
    <m/>
    <m/>
    <n v="0"/>
    <n v="0"/>
    <n v="0"/>
    <n v="0"/>
    <n v="1811.2333333333333"/>
    <n v="1765.7333333333333"/>
  </r>
  <r>
    <x v="7"/>
    <s v="Garrett College "/>
    <m/>
    <n v="162609"/>
    <x v="8"/>
    <s v="sem"/>
    <s v="sem"/>
    <n v="181"/>
    <n v="131"/>
    <n v="9560.75"/>
    <n v="10179.25"/>
    <n v="562"/>
    <n v="594"/>
    <n v="10119"/>
    <n v="12941.5"/>
    <n v="20422.75"/>
    <n v="680.75833333333333"/>
    <n v="23845.75"/>
    <n v="794.85833333333335"/>
    <m/>
    <m/>
    <n v="0"/>
    <n v="0"/>
    <m/>
    <m/>
    <m/>
    <m/>
    <m/>
    <m/>
    <m/>
    <m/>
    <n v="0"/>
    <n v="0"/>
    <n v="0"/>
    <n v="0"/>
    <m/>
    <m/>
    <n v="0"/>
    <n v="0"/>
    <m/>
    <m/>
    <m/>
    <m/>
    <m/>
    <m/>
    <m/>
    <m/>
    <n v="0"/>
    <n v="0"/>
    <n v="0"/>
    <n v="0"/>
    <n v="680.75833333333333"/>
    <n v="794.85833333333335"/>
  </r>
  <r>
    <x v="8"/>
    <s v="Mississippi State University"/>
    <m/>
    <n v="176080"/>
    <x v="0"/>
    <s v="sem"/>
    <s v="sem"/>
    <m/>
    <m/>
    <n v="177192"/>
    <n v="189437"/>
    <n v="38651"/>
    <n v="38934"/>
    <n v="202598"/>
    <n v="213629"/>
    <n v="418441"/>
    <n v="13948.033333333333"/>
    <n v="442000"/>
    <n v="14733.333333333334"/>
    <m/>
    <m/>
    <n v="0"/>
    <n v="0"/>
    <m/>
    <m/>
    <m/>
    <m/>
    <m/>
    <m/>
    <m/>
    <m/>
    <n v="0"/>
    <n v="0"/>
    <n v="0"/>
    <n v="0"/>
    <m/>
    <m/>
    <n v="0"/>
    <n v="0"/>
    <m/>
    <m/>
    <n v="25020"/>
    <n v="25491"/>
    <n v="13410"/>
    <n v="13236"/>
    <n v="26131"/>
    <n v="25947"/>
    <n v="64561"/>
    <n v="2690.0416666666665"/>
    <n v="64674"/>
    <n v="2694.75"/>
    <n v="16638.075000000001"/>
    <n v="17428.083333333336"/>
  </r>
  <r>
    <x v="8"/>
    <s v="University of Southern Mississippi"/>
    <m/>
    <n v="176372"/>
    <x v="0"/>
    <s v="sem"/>
    <s v="sem"/>
    <m/>
    <m/>
    <n v="146148"/>
    <n v="147446"/>
    <n v="34688"/>
    <n v="33772"/>
    <n v="161808"/>
    <n v="167105"/>
    <n v="342644"/>
    <n v="11421.466666666667"/>
    <n v="348323"/>
    <n v="11610.766666666666"/>
    <m/>
    <m/>
    <n v="0"/>
    <n v="0"/>
    <m/>
    <m/>
    <m/>
    <m/>
    <m/>
    <m/>
    <m/>
    <m/>
    <n v="0"/>
    <n v="0"/>
    <n v="0"/>
    <n v="0"/>
    <m/>
    <m/>
    <n v="0"/>
    <n v="0"/>
    <m/>
    <m/>
    <n v="22861"/>
    <n v="22878"/>
    <n v="13566"/>
    <n v="12659"/>
    <n v="23117"/>
    <n v="23037"/>
    <n v="59544"/>
    <n v="2481"/>
    <n v="58574"/>
    <n v="2440.5833333333335"/>
    <n v="13902.466666666667"/>
    <n v="14051.35"/>
  </r>
  <r>
    <x v="8"/>
    <s v="Jackson State University "/>
    <m/>
    <n v="175856"/>
    <x v="1"/>
    <s v="sem"/>
    <s v="sem"/>
    <m/>
    <m/>
    <n v="67287"/>
    <n v="72271.5"/>
    <n v="17790"/>
    <n v="20164"/>
    <n v="77433"/>
    <n v="78970"/>
    <n v="162510"/>
    <n v="5417"/>
    <n v="171405.5"/>
    <n v="5713.5166666666664"/>
    <m/>
    <m/>
    <n v="0"/>
    <n v="0"/>
    <m/>
    <m/>
    <m/>
    <m/>
    <m/>
    <m/>
    <m/>
    <m/>
    <n v="0"/>
    <n v="0"/>
    <n v="0"/>
    <n v="0"/>
    <m/>
    <m/>
    <n v="0"/>
    <n v="0"/>
    <m/>
    <m/>
    <n v="11187"/>
    <n v="13962"/>
    <n v="5668"/>
    <n v="6313"/>
    <n v="14062"/>
    <n v="13886"/>
    <n v="30917"/>
    <n v="1288.2083333333333"/>
    <n v="34161"/>
    <n v="1423.375"/>
    <n v="6705.208333333333"/>
    <n v="7136.8916666666664"/>
  </r>
  <r>
    <x v="8"/>
    <s v="University of Mississippi"/>
    <s v="Met the criteria for Four-Year 1 in 2011-12."/>
    <n v="176017"/>
    <x v="1"/>
    <s v="sem"/>
    <s v="sem"/>
    <m/>
    <m/>
    <n v="174439"/>
    <n v="188344"/>
    <n v="47603"/>
    <n v="47586"/>
    <n v="192683"/>
    <n v="206970"/>
    <n v="414725"/>
    <n v="13824.166666666666"/>
    <n v="442900"/>
    <n v="14763.333333333334"/>
    <m/>
    <m/>
    <n v="0"/>
    <n v="0"/>
    <m/>
    <m/>
    <m/>
    <m/>
    <m/>
    <m/>
    <m/>
    <m/>
    <n v="0"/>
    <n v="0"/>
    <n v="0"/>
    <n v="0"/>
    <m/>
    <m/>
    <n v="0"/>
    <n v="0"/>
    <m/>
    <m/>
    <n v="22719"/>
    <n v="24242"/>
    <n v="8918"/>
    <n v="9101"/>
    <n v="25209"/>
    <n v="25424"/>
    <n v="56846"/>
    <n v="2368.5833333333335"/>
    <n v="58767"/>
    <n v="2448.625"/>
    <n v="16192.75"/>
    <n v="17211.958333333336"/>
  </r>
  <r>
    <x v="8"/>
    <s v="Alcorn State University"/>
    <m/>
    <n v="175342"/>
    <x v="3"/>
    <s v="sem"/>
    <s v="sem"/>
    <m/>
    <m/>
    <n v="34063"/>
    <n v="38675"/>
    <n v="11173"/>
    <n v="12594"/>
    <n v="39225"/>
    <n v="43097"/>
    <n v="84461"/>
    <n v="2815.3666666666668"/>
    <n v="94366"/>
    <n v="3145.5333333333333"/>
    <m/>
    <m/>
    <n v="0"/>
    <n v="0"/>
    <m/>
    <m/>
    <m/>
    <m/>
    <m/>
    <m/>
    <m/>
    <m/>
    <n v="0"/>
    <n v="0"/>
    <n v="0"/>
    <n v="0"/>
    <m/>
    <m/>
    <n v="0"/>
    <n v="0"/>
    <m/>
    <m/>
    <n v="4480"/>
    <n v="4948"/>
    <n v="2823"/>
    <n v="3011"/>
    <n v="4907"/>
    <n v="4928"/>
    <n v="12210"/>
    <n v="508.75"/>
    <n v="12887"/>
    <n v="536.95833333333337"/>
    <n v="3324.1166666666668"/>
    <n v="3682.4916666666668"/>
  </r>
  <r>
    <x v="8"/>
    <s v="Delta State University"/>
    <m/>
    <n v="175616"/>
    <x v="3"/>
    <s v="sem"/>
    <s v="sem"/>
    <m/>
    <m/>
    <n v="34723"/>
    <n v="33006"/>
    <n v="6469"/>
    <n v="6548"/>
    <n v="36533"/>
    <n v="35560"/>
    <n v="77725"/>
    <n v="2590.8333333333335"/>
    <n v="75114"/>
    <n v="2503.8000000000002"/>
    <m/>
    <m/>
    <n v="0"/>
    <n v="0"/>
    <m/>
    <m/>
    <m/>
    <m/>
    <m/>
    <m/>
    <m/>
    <m/>
    <n v="0"/>
    <n v="0"/>
    <n v="0"/>
    <n v="0"/>
    <m/>
    <m/>
    <n v="0"/>
    <n v="0"/>
    <m/>
    <m/>
    <n v="5594"/>
    <n v="5602"/>
    <n v="4905"/>
    <n v="4045"/>
    <n v="8949"/>
    <n v="13204"/>
    <n v="19448"/>
    <n v="810.33333333333337"/>
    <n v="22851"/>
    <n v="952.125"/>
    <n v="3401.166666666667"/>
    <n v="3455.9250000000002"/>
  </r>
  <r>
    <x v="8"/>
    <s v="Mississippi Valley State University"/>
    <m/>
    <n v="176044"/>
    <x v="3"/>
    <s v="sem"/>
    <s v="sem"/>
    <m/>
    <m/>
    <n v="28599"/>
    <n v="26801"/>
    <n v="9499"/>
    <n v="8986"/>
    <n v="28070"/>
    <n v="26495"/>
    <n v="66168"/>
    <n v="2205.6"/>
    <n v="62282"/>
    <n v="2076.0666666666666"/>
    <m/>
    <m/>
    <n v="0"/>
    <n v="0"/>
    <m/>
    <m/>
    <m/>
    <m/>
    <m/>
    <m/>
    <m/>
    <m/>
    <n v="0"/>
    <n v="0"/>
    <n v="0"/>
    <n v="0"/>
    <m/>
    <m/>
    <n v="0"/>
    <n v="0"/>
    <m/>
    <m/>
    <n v="2611"/>
    <n v="2846"/>
    <n v="1181"/>
    <n v="831"/>
    <n v="2860"/>
    <n v="2584"/>
    <n v="6652"/>
    <n v="277.16666666666669"/>
    <n v="6261"/>
    <n v="260.875"/>
    <n v="2482.7666666666664"/>
    <n v="2336.9416666666666"/>
  </r>
  <r>
    <x v="8"/>
    <s v="Mississippi University for Women"/>
    <m/>
    <n v="176035"/>
    <x v="4"/>
    <s v="sem"/>
    <s v="sem"/>
    <m/>
    <m/>
    <n v="25823"/>
    <n v="27625"/>
    <n v="8354"/>
    <n v="10363"/>
    <n v="28847"/>
    <n v="29636"/>
    <n v="63024"/>
    <n v="2100.8000000000002"/>
    <n v="67624"/>
    <n v="2254.1333333333332"/>
    <m/>
    <m/>
    <n v="0"/>
    <n v="0"/>
    <m/>
    <m/>
    <m/>
    <m/>
    <m/>
    <m/>
    <m/>
    <m/>
    <n v="0"/>
    <n v="0"/>
    <n v="0"/>
    <n v="0"/>
    <m/>
    <m/>
    <n v="0"/>
    <n v="0"/>
    <m/>
    <m/>
    <n v="1603"/>
    <n v="1434"/>
    <n v="1380"/>
    <n v="1316"/>
    <n v="1518"/>
    <n v="1510"/>
    <n v="4501"/>
    <n v="187.54166666666666"/>
    <n v="4260"/>
    <n v="177.5"/>
    <n v="2288.3416666666667"/>
    <n v="2431.6333333333332"/>
  </r>
  <r>
    <x v="8"/>
    <s v="Hinds Community College "/>
    <m/>
    <n v="175786"/>
    <x v="6"/>
    <s v="sem"/>
    <s v="sem"/>
    <m/>
    <m/>
    <n v="136623"/>
    <n v="141793"/>
    <n v="44047"/>
    <n v="43282"/>
    <n v="159704"/>
    <n v="153821"/>
    <n v="340374"/>
    <n v="11345.8"/>
    <n v="338896"/>
    <n v="11296.533333333333"/>
    <n v="3287"/>
    <n v="3123"/>
    <n v="340374"/>
    <n v="338896"/>
    <m/>
    <m/>
    <m/>
    <m/>
    <m/>
    <m/>
    <m/>
    <m/>
    <n v="0"/>
    <n v="0"/>
    <n v="0"/>
    <n v="0"/>
    <m/>
    <m/>
    <n v="0"/>
    <n v="0"/>
    <m/>
    <m/>
    <m/>
    <m/>
    <m/>
    <m/>
    <m/>
    <m/>
    <n v="0"/>
    <n v="0"/>
    <n v="0"/>
    <n v="0"/>
    <n v="11345.8"/>
    <n v="11296.533333333333"/>
  </r>
  <r>
    <x v="8"/>
    <s v="Itawamba Community College "/>
    <s v="Met criteria for Two-Year 2 2011-12."/>
    <n v="175829"/>
    <x v="6"/>
    <s v="sem"/>
    <s v="sem"/>
    <m/>
    <m/>
    <n v="96889"/>
    <n v="91528"/>
    <n v="27800"/>
    <n v="21793"/>
    <n v="100640"/>
    <n v="90765"/>
    <n v="225329"/>
    <n v="7510.9666666666662"/>
    <n v="204086"/>
    <n v="6802.8666666666668"/>
    <n v="1119"/>
    <n v="1042"/>
    <n v="225329"/>
    <n v="204086"/>
    <m/>
    <m/>
    <m/>
    <m/>
    <m/>
    <m/>
    <m/>
    <m/>
    <n v="0"/>
    <n v="0"/>
    <n v="0"/>
    <n v="0"/>
    <m/>
    <m/>
    <n v="0"/>
    <n v="0"/>
    <m/>
    <m/>
    <m/>
    <m/>
    <m/>
    <m/>
    <m/>
    <m/>
    <n v="0"/>
    <n v="0"/>
    <n v="0"/>
    <n v="0"/>
    <n v="7510.9666666666662"/>
    <n v="6802.8666666666668"/>
  </r>
  <r>
    <x v="8"/>
    <s v="Mississippi Gulf Coast Community College "/>
    <s v="Met criteria for Two-Year 2 2011-12."/>
    <n v="176071"/>
    <x v="6"/>
    <s v="sem"/>
    <s v="sem"/>
    <n v="454"/>
    <n v="525"/>
    <n v="110368"/>
    <n v="108752"/>
    <n v="31030"/>
    <n v="26834"/>
    <n v="118765"/>
    <n v="118350"/>
    <n v="260617"/>
    <n v="8687.2333333333336"/>
    <n v="254461"/>
    <n v="8482.0333333333328"/>
    <n v="1679"/>
    <n v="1594"/>
    <n v="260617"/>
    <n v="254461"/>
    <m/>
    <m/>
    <m/>
    <m/>
    <m/>
    <m/>
    <m/>
    <m/>
    <n v="0"/>
    <n v="0"/>
    <n v="0"/>
    <n v="0"/>
    <m/>
    <m/>
    <n v="0"/>
    <n v="0"/>
    <m/>
    <m/>
    <m/>
    <m/>
    <m/>
    <m/>
    <m/>
    <m/>
    <n v="0"/>
    <n v="0"/>
    <n v="0"/>
    <n v="0"/>
    <n v="8687.2333333333336"/>
    <n v="8482.0333333333328"/>
  </r>
  <r>
    <x v="8"/>
    <s v="Northwest Mississippi Community College "/>
    <s v="Met criteria for Two-Year 2 2011-12."/>
    <n v="176178"/>
    <x v="6"/>
    <s v="sem"/>
    <s v="sem"/>
    <m/>
    <m/>
    <n v="92877"/>
    <n v="95084"/>
    <n v="25081"/>
    <n v="22602"/>
    <n v="101767"/>
    <n v="97598"/>
    <n v="219725"/>
    <n v="7324.166666666667"/>
    <n v="215284"/>
    <n v="7176.1333333333332"/>
    <n v="745"/>
    <n v="2002"/>
    <n v="219725"/>
    <n v="215284"/>
    <m/>
    <m/>
    <m/>
    <m/>
    <m/>
    <m/>
    <m/>
    <m/>
    <n v="0"/>
    <n v="0"/>
    <n v="0"/>
    <n v="0"/>
    <m/>
    <m/>
    <n v="0"/>
    <n v="0"/>
    <m/>
    <m/>
    <m/>
    <m/>
    <m/>
    <m/>
    <m/>
    <m/>
    <n v="0"/>
    <n v="0"/>
    <n v="0"/>
    <n v="0"/>
    <n v="7324.166666666667"/>
    <n v="7176.1333333333332"/>
  </r>
  <r>
    <x v="8"/>
    <s v="Copiah-Lincoln Community College "/>
    <s v="Met criteria for Two-Year 3 2011-12."/>
    <n v="175573"/>
    <x v="7"/>
    <s v="sem"/>
    <s v="sem"/>
    <m/>
    <m/>
    <n v="45122"/>
    <n v="42906"/>
    <n v="11781"/>
    <n v="10797"/>
    <n v="48670"/>
    <n v="45936"/>
    <n v="105573"/>
    <n v="3519.1"/>
    <n v="99639"/>
    <n v="3321.3"/>
    <n v="1172"/>
    <n v="1041"/>
    <n v="105573"/>
    <n v="99639"/>
    <m/>
    <m/>
    <m/>
    <m/>
    <m/>
    <m/>
    <m/>
    <m/>
    <n v="0"/>
    <n v="0"/>
    <n v="0"/>
    <n v="0"/>
    <m/>
    <m/>
    <n v="0"/>
    <n v="0"/>
    <m/>
    <m/>
    <m/>
    <m/>
    <m/>
    <m/>
    <m/>
    <m/>
    <n v="0"/>
    <n v="0"/>
    <n v="0"/>
    <n v="0"/>
    <n v="3519.1"/>
    <n v="3321.3"/>
  </r>
  <r>
    <x v="8"/>
    <s v="East Central Community College "/>
    <s v="Met criteria for Two-Year 3 2011-12."/>
    <n v="175643"/>
    <x v="7"/>
    <s v="sem"/>
    <s v="sem"/>
    <m/>
    <m/>
    <n v="31498"/>
    <n v="30047"/>
    <n v="7614"/>
    <n v="7605"/>
    <n v="33326"/>
    <n v="33007"/>
    <n v="72438"/>
    <n v="2414.6"/>
    <n v="70659"/>
    <n v="2355.3000000000002"/>
    <n v="333"/>
    <n v="1053"/>
    <n v="72438"/>
    <n v="70659"/>
    <m/>
    <m/>
    <m/>
    <m/>
    <m/>
    <m/>
    <m/>
    <m/>
    <n v="0"/>
    <n v="0"/>
    <n v="0"/>
    <n v="0"/>
    <m/>
    <m/>
    <n v="0"/>
    <n v="0"/>
    <m/>
    <m/>
    <m/>
    <m/>
    <m/>
    <m/>
    <m/>
    <m/>
    <n v="0"/>
    <n v="0"/>
    <n v="0"/>
    <n v="0"/>
    <n v="2414.6"/>
    <n v="2355.3000000000002"/>
  </r>
  <r>
    <x v="8"/>
    <s v="East Mississippi Community College "/>
    <m/>
    <n v="175652"/>
    <x v="7"/>
    <s v="sem"/>
    <s v="sem"/>
    <m/>
    <m/>
    <n v="53353"/>
    <n v="54193"/>
    <n v="21313"/>
    <n v="18297"/>
    <n v="59562"/>
    <n v="57188"/>
    <n v="134228"/>
    <n v="4474.2666666666664"/>
    <n v="129678"/>
    <n v="4322.6000000000004"/>
    <n v="841"/>
    <n v="412"/>
    <n v="134228"/>
    <n v="129678"/>
    <m/>
    <m/>
    <m/>
    <m/>
    <m/>
    <m/>
    <m/>
    <m/>
    <n v="0"/>
    <n v="0"/>
    <n v="0"/>
    <n v="0"/>
    <m/>
    <m/>
    <n v="0"/>
    <n v="0"/>
    <m/>
    <m/>
    <m/>
    <m/>
    <m/>
    <m/>
    <m/>
    <m/>
    <n v="0"/>
    <n v="0"/>
    <n v="0"/>
    <n v="0"/>
    <n v="4474.2666666666664"/>
    <n v="4322.6000000000004"/>
  </r>
  <r>
    <x v="8"/>
    <s v="Holmes Community College "/>
    <m/>
    <n v="175810"/>
    <x v="7"/>
    <s v="sem"/>
    <s v="sem"/>
    <m/>
    <m/>
    <n v="67806"/>
    <n v="69544"/>
    <n v="21149"/>
    <n v="21647"/>
    <n v="72668"/>
    <n v="72931"/>
    <n v="161623"/>
    <n v="5387.4333333333334"/>
    <n v="164122"/>
    <n v="5470.7333333333336"/>
    <n v="1371"/>
    <n v="1224"/>
    <n v="161623"/>
    <n v="164122"/>
    <m/>
    <m/>
    <m/>
    <m/>
    <m/>
    <m/>
    <m/>
    <m/>
    <n v="0"/>
    <n v="0"/>
    <n v="0"/>
    <n v="0"/>
    <m/>
    <m/>
    <n v="0"/>
    <n v="0"/>
    <m/>
    <m/>
    <m/>
    <m/>
    <m/>
    <m/>
    <m/>
    <m/>
    <n v="0"/>
    <n v="0"/>
    <n v="0"/>
    <n v="0"/>
    <n v="5387.4333333333334"/>
    <n v="5470.7333333333336"/>
  </r>
  <r>
    <x v="8"/>
    <s v="Jones County Junior College "/>
    <m/>
    <n v="175883"/>
    <x v="7"/>
    <s v="sem"/>
    <s v="sem"/>
    <m/>
    <m/>
    <n v="62805"/>
    <n v="60439"/>
    <n v="19646"/>
    <n v="16482"/>
    <n v="69180"/>
    <n v="62145"/>
    <n v="151631"/>
    <n v="5054.3666666666668"/>
    <n v="139066"/>
    <n v="4635.5333333333338"/>
    <n v="1739"/>
    <n v="1694"/>
    <n v="151631"/>
    <n v="139066"/>
    <m/>
    <m/>
    <m/>
    <m/>
    <m/>
    <m/>
    <m/>
    <m/>
    <n v="0"/>
    <n v="0"/>
    <n v="0"/>
    <n v="0"/>
    <m/>
    <m/>
    <n v="0"/>
    <n v="0"/>
    <m/>
    <m/>
    <m/>
    <m/>
    <m/>
    <m/>
    <m/>
    <m/>
    <n v="0"/>
    <n v="0"/>
    <n v="0"/>
    <n v="0"/>
    <n v="5054.3666666666668"/>
    <n v="4635.5333333333338"/>
  </r>
  <r>
    <x v="8"/>
    <s v="Meridian Community College "/>
    <s v="Met criteria for Two-Year 3 2011-12."/>
    <n v="175935"/>
    <x v="7"/>
    <s v="sem"/>
    <s v="sem"/>
    <m/>
    <m/>
    <n v="44956"/>
    <n v="43146"/>
    <n v="9593"/>
    <n v="9237"/>
    <n v="48013"/>
    <n v="48738.5"/>
    <n v="102562"/>
    <n v="3418.7333333333331"/>
    <n v="101121.5"/>
    <n v="3370.7166666666667"/>
    <n v="412"/>
    <n v="665"/>
    <n v="102562"/>
    <n v="101121.5"/>
    <m/>
    <m/>
    <m/>
    <m/>
    <m/>
    <m/>
    <m/>
    <m/>
    <n v="0"/>
    <n v="0"/>
    <n v="0"/>
    <n v="0"/>
    <m/>
    <m/>
    <n v="0"/>
    <n v="0"/>
    <m/>
    <m/>
    <m/>
    <m/>
    <m/>
    <m/>
    <m/>
    <m/>
    <n v="0"/>
    <n v="0"/>
    <n v="0"/>
    <n v="0"/>
    <n v="3418.7333333333331"/>
    <n v="3370.7166666666667"/>
  </r>
  <r>
    <x v="8"/>
    <s v="Mississippi Delta Community College "/>
    <s v="Met criteria for Two-Year 3 2011-12."/>
    <n v="176008"/>
    <x v="7"/>
    <s v="sem"/>
    <s v="sem"/>
    <m/>
    <m/>
    <n v="42385"/>
    <n v="38930"/>
    <n v="10363"/>
    <n v="10269"/>
    <n v="42732"/>
    <n v="39692"/>
    <n v="95480"/>
    <n v="3182.6666666666665"/>
    <n v="88891"/>
    <n v="2963.0333333333333"/>
    <n v="834"/>
    <n v="617"/>
    <n v="95480"/>
    <n v="88891"/>
    <m/>
    <m/>
    <m/>
    <m/>
    <m/>
    <m/>
    <m/>
    <m/>
    <n v="0"/>
    <n v="0"/>
    <n v="0"/>
    <n v="0"/>
    <m/>
    <m/>
    <n v="0"/>
    <n v="0"/>
    <m/>
    <m/>
    <m/>
    <m/>
    <m/>
    <m/>
    <m/>
    <m/>
    <n v="0"/>
    <n v="0"/>
    <n v="0"/>
    <n v="0"/>
    <n v="3182.6666666666665"/>
    <n v="2963.0333333333333"/>
  </r>
  <r>
    <x v="8"/>
    <s v="Northeast Mississippi Community College "/>
    <s v="Met criteria for Two-Year 3 2011-12."/>
    <n v="176169"/>
    <x v="7"/>
    <s v="sem"/>
    <s v="sem"/>
    <m/>
    <m/>
    <n v="44266"/>
    <n v="43934"/>
    <n v="6371"/>
    <n v="5621"/>
    <n v="48134"/>
    <n v="48678"/>
    <n v="98771"/>
    <n v="3292.3666666666668"/>
    <n v="98233"/>
    <n v="3274.4333333333334"/>
    <n v="563"/>
    <n v="651"/>
    <n v="98771"/>
    <n v="98233"/>
    <m/>
    <m/>
    <m/>
    <m/>
    <m/>
    <m/>
    <m/>
    <m/>
    <n v="0"/>
    <n v="0"/>
    <n v="0"/>
    <n v="0"/>
    <m/>
    <m/>
    <n v="0"/>
    <n v="0"/>
    <m/>
    <m/>
    <m/>
    <m/>
    <m/>
    <m/>
    <m/>
    <m/>
    <n v="0"/>
    <n v="0"/>
    <n v="0"/>
    <n v="0"/>
    <n v="3292.3666666666668"/>
    <n v="3274.4333333333334"/>
  </r>
  <r>
    <x v="8"/>
    <s v="Pearl River Community College "/>
    <m/>
    <n v="176239"/>
    <x v="7"/>
    <s v="sem"/>
    <s v="sem"/>
    <m/>
    <m/>
    <n v="53825"/>
    <n v="56125"/>
    <n v="13377"/>
    <n v="13237"/>
    <n v="61796"/>
    <n v="60546"/>
    <n v="128998"/>
    <n v="4299.9333333333334"/>
    <n v="129908"/>
    <n v="4330.2666666666664"/>
    <n v="840"/>
    <n v="1182"/>
    <n v="128998"/>
    <n v="129908"/>
    <m/>
    <m/>
    <m/>
    <m/>
    <m/>
    <m/>
    <m/>
    <m/>
    <n v="0"/>
    <n v="0"/>
    <n v="0"/>
    <n v="0"/>
    <m/>
    <m/>
    <n v="0"/>
    <n v="0"/>
    <m/>
    <m/>
    <m/>
    <m/>
    <m/>
    <m/>
    <m/>
    <m/>
    <n v="0"/>
    <n v="0"/>
    <n v="0"/>
    <n v="0"/>
    <n v="4299.9333333333334"/>
    <n v="4330.2666666666664"/>
  </r>
  <r>
    <x v="8"/>
    <s v="Coahoma Community College "/>
    <m/>
    <n v="175519"/>
    <x v="8"/>
    <s v="sem"/>
    <s v="sem"/>
    <m/>
    <m/>
    <n v="25412"/>
    <n v="32587"/>
    <n v="4341"/>
    <n v="4761"/>
    <n v="33682"/>
    <n v="35023"/>
    <n v="63435"/>
    <n v="2114.5"/>
    <n v="72371"/>
    <n v="2412.3666666666668"/>
    <n v="785"/>
    <n v="747"/>
    <n v="63435"/>
    <n v="72371"/>
    <m/>
    <m/>
    <m/>
    <m/>
    <m/>
    <m/>
    <m/>
    <m/>
    <n v="0"/>
    <n v="0"/>
    <n v="0"/>
    <n v="0"/>
    <m/>
    <m/>
    <n v="0"/>
    <n v="0"/>
    <m/>
    <m/>
    <m/>
    <m/>
    <m/>
    <m/>
    <m/>
    <m/>
    <n v="0"/>
    <n v="0"/>
    <n v="0"/>
    <n v="0"/>
    <n v="2114.5"/>
    <n v="2412.3666666666668"/>
  </r>
  <r>
    <x v="8"/>
    <s v="Southwest Mississippi Community College"/>
    <m/>
    <n v="176354"/>
    <x v="8"/>
    <s v="sem"/>
    <s v="sem"/>
    <m/>
    <m/>
    <n v="25379"/>
    <n v="24771"/>
    <n v="3462"/>
    <n v="4306"/>
    <n v="27699"/>
    <n v="28034"/>
    <n v="56540"/>
    <n v="1884.6666666666667"/>
    <n v="57111"/>
    <n v="1903.7"/>
    <n v="861"/>
    <n v="660"/>
    <n v="56540"/>
    <n v="57111"/>
    <m/>
    <m/>
    <m/>
    <m/>
    <m/>
    <m/>
    <m/>
    <m/>
    <n v="0"/>
    <n v="0"/>
    <n v="0"/>
    <n v="0"/>
    <m/>
    <m/>
    <n v="0"/>
    <n v="0"/>
    <m/>
    <m/>
    <m/>
    <m/>
    <m/>
    <m/>
    <m/>
    <m/>
    <n v="0"/>
    <n v="0"/>
    <n v="0"/>
    <n v="0"/>
    <n v="1884.6666666666667"/>
    <n v="1903.7"/>
  </r>
  <r>
    <x v="9"/>
    <s v="North Carolina State University "/>
    <m/>
    <n v="199193"/>
    <x v="0"/>
    <s v="sem"/>
    <s v="sem"/>
    <m/>
    <m/>
    <n v="321586"/>
    <n v="323770"/>
    <n v="57585"/>
    <n v="59666"/>
    <n v="346819"/>
    <n v="347252"/>
    <n v="725990"/>
    <n v="24199.666666666668"/>
    <n v="730688"/>
    <n v="24356.266666666666"/>
    <n v="0"/>
    <n v="0"/>
    <n v="725990"/>
    <n v="730688"/>
    <m/>
    <m/>
    <m/>
    <m/>
    <m/>
    <m/>
    <m/>
    <m/>
    <n v="0"/>
    <n v="0"/>
    <n v="0"/>
    <n v="0"/>
    <m/>
    <m/>
    <n v="0"/>
    <n v="0"/>
    <m/>
    <m/>
    <n v="58431"/>
    <n v="62881"/>
    <n v="9125"/>
    <n v="9737"/>
    <n v="66613"/>
    <n v="69109"/>
    <n v="134169"/>
    <n v="5590.375"/>
    <n v="141727"/>
    <n v="5905.291666666667"/>
    <n v="29790.041666666668"/>
    <n v="30261.558333333334"/>
  </r>
  <r>
    <x v="9"/>
    <s v="University of North Carolina at Chapel Hill "/>
    <m/>
    <n v="199120"/>
    <x v="0"/>
    <s v="sem"/>
    <s v="sem"/>
    <m/>
    <m/>
    <n v="231100"/>
    <n v="231358"/>
    <n v="35347"/>
    <n v="35510"/>
    <n v="242296"/>
    <n v="245180"/>
    <n v="508743"/>
    <n v="16958.099999999999"/>
    <n v="512048"/>
    <n v="17068.266666666666"/>
    <n v="0"/>
    <n v="8"/>
    <n v="508743"/>
    <n v="512048"/>
    <m/>
    <m/>
    <m/>
    <m/>
    <m/>
    <m/>
    <m/>
    <m/>
    <n v="0"/>
    <n v="0"/>
    <n v="0"/>
    <n v="0"/>
    <m/>
    <m/>
    <n v="0"/>
    <n v="0"/>
    <m/>
    <m/>
    <n v="87395"/>
    <n v="82860"/>
    <n v="14476"/>
    <n v="13955"/>
    <n v="92215"/>
    <n v="90454"/>
    <n v="194086"/>
    <n v="8086.916666666667"/>
    <n v="187269"/>
    <n v="7802.875"/>
    <n v="25045.016666666666"/>
    <n v="24871.141666666666"/>
  </r>
  <r>
    <x v="9"/>
    <s v="University of North Carolina at Greensboro"/>
    <s v="Reclassified: met the criteria for Four-Year 1 in 2009-10, 2010-11 and 2011-12."/>
    <n v="199148"/>
    <x v="0"/>
    <s v="sem"/>
    <s v="sem"/>
    <m/>
    <m/>
    <n v="189779"/>
    <n v="191003"/>
    <n v="25837"/>
    <n v="34548"/>
    <n v="198683"/>
    <n v="195330"/>
    <n v="414299"/>
    <n v="13809.966666666667"/>
    <n v="420881"/>
    <n v="14029.366666666667"/>
    <n v="7534"/>
    <n v="286"/>
    <n v="414299"/>
    <n v="420881"/>
    <m/>
    <m/>
    <m/>
    <m/>
    <m/>
    <m/>
    <m/>
    <m/>
    <n v="0"/>
    <n v="0"/>
    <n v="0"/>
    <n v="0"/>
    <m/>
    <m/>
    <n v="0"/>
    <n v="0"/>
    <m/>
    <m/>
    <n v="31648"/>
    <n v="31603"/>
    <n v="6570"/>
    <n v="7592"/>
    <n v="32320"/>
    <n v="32348"/>
    <n v="70538"/>
    <n v="2939.0833333333335"/>
    <n v="71543"/>
    <n v="2980.9583333333335"/>
    <n v="16749.05"/>
    <n v="17010.325000000001"/>
  </r>
  <r>
    <x v="9"/>
    <s v="University of North Carolina at Charlotte"/>
    <m/>
    <n v="199139"/>
    <x v="1"/>
    <s v="sem"/>
    <s v="sem"/>
    <m/>
    <m/>
    <n v="243926"/>
    <n v="250878"/>
    <n v="43743"/>
    <n v="44400"/>
    <n v="263243"/>
    <n v="271170"/>
    <n v="550912"/>
    <n v="18363.733333333334"/>
    <n v="566448"/>
    <n v="18881.599999999999"/>
    <n v="0"/>
    <n v="0"/>
    <n v="550912"/>
    <n v="566448"/>
    <m/>
    <m/>
    <m/>
    <m/>
    <m/>
    <m/>
    <m/>
    <m/>
    <n v="0"/>
    <n v="0"/>
    <n v="0"/>
    <n v="0"/>
    <m/>
    <m/>
    <n v="0"/>
    <n v="0"/>
    <m/>
    <m/>
    <n v="31410"/>
    <n v="30091"/>
    <n v="10655"/>
    <n v="9900"/>
    <n v="32871"/>
    <n v="31825"/>
    <n v="74936"/>
    <n v="3122.3333333333335"/>
    <n v="71816"/>
    <n v="2992.3333333333335"/>
    <n v="21486.066666666666"/>
    <n v="21873.933333333331"/>
  </r>
  <r>
    <x v="9"/>
    <s v="Appalachian State University "/>
    <m/>
    <n v="197869"/>
    <x v="2"/>
    <s v="sem"/>
    <s v="sem"/>
    <m/>
    <m/>
    <n v="201911"/>
    <n v="208091"/>
    <n v="32052"/>
    <n v="32326"/>
    <n v="219067"/>
    <n v="225414"/>
    <n v="453030"/>
    <n v="15101"/>
    <n v="465831"/>
    <n v="15527.7"/>
    <n v="0"/>
    <n v="0"/>
    <n v="453030"/>
    <n v="465831"/>
    <m/>
    <m/>
    <m/>
    <m/>
    <m/>
    <m/>
    <m/>
    <m/>
    <n v="0"/>
    <n v="0"/>
    <n v="0"/>
    <n v="0"/>
    <m/>
    <m/>
    <n v="0"/>
    <n v="0"/>
    <m/>
    <m/>
    <n v="14588"/>
    <n v="14734"/>
    <n v="8438"/>
    <n v="7966"/>
    <n v="15058"/>
    <n v="14325"/>
    <n v="38084"/>
    <n v="1586.8333333333333"/>
    <n v="37025"/>
    <n v="1542.7083333333333"/>
    <n v="16687.833333333332"/>
    <n v="17070.408333333333"/>
  </r>
  <r>
    <x v="9"/>
    <s v="East Carolina University "/>
    <s v="Met the criteria for Four-Year 2 in 2010-11 and 2011-12."/>
    <n v="198464"/>
    <x v="2"/>
    <s v="sem"/>
    <s v="sem"/>
    <m/>
    <m/>
    <n v="255968"/>
    <n v="261544"/>
    <n v="57711"/>
    <n v="54008"/>
    <n v="281478"/>
    <n v="281788"/>
    <n v="595157"/>
    <n v="19838.566666666666"/>
    <n v="597340"/>
    <n v="19911.333333333332"/>
    <n v="390"/>
    <n v="402"/>
    <n v="595157"/>
    <n v="597340"/>
    <m/>
    <m/>
    <m/>
    <m/>
    <m/>
    <m/>
    <m/>
    <m/>
    <n v="0"/>
    <n v="0"/>
    <n v="0"/>
    <n v="0"/>
    <m/>
    <m/>
    <n v="0"/>
    <n v="0"/>
    <m/>
    <m/>
    <n v="42824"/>
    <n v="40850"/>
    <n v="20932"/>
    <n v="19249"/>
    <n v="44864"/>
    <n v="43627"/>
    <n v="108620"/>
    <n v="4525.833333333333"/>
    <n v="103726"/>
    <n v="4321.916666666667"/>
    <n v="24364.399999999998"/>
    <n v="24233.25"/>
  </r>
  <r>
    <x v="9"/>
    <s v="North Carolina A&amp;T State University"/>
    <m/>
    <n v="199102"/>
    <x v="2"/>
    <s v="sem"/>
    <s v="sem"/>
    <m/>
    <m/>
    <n v="116329"/>
    <n v="116034"/>
    <n v="27316"/>
    <n v="27844"/>
    <n v="126726"/>
    <n v="125696"/>
    <n v="270371"/>
    <n v="9012.3666666666668"/>
    <n v="269574"/>
    <n v="8985.7999999999993"/>
    <n v="1605"/>
    <n v="446"/>
    <n v="270371"/>
    <n v="269574"/>
    <m/>
    <m/>
    <m/>
    <m/>
    <m/>
    <m/>
    <m/>
    <m/>
    <n v="0"/>
    <n v="0"/>
    <n v="0"/>
    <n v="0"/>
    <m/>
    <m/>
    <n v="0"/>
    <n v="0"/>
    <m/>
    <m/>
    <n v="15396"/>
    <n v="14358"/>
    <n v="3781"/>
    <n v="3601"/>
    <n v="14315"/>
    <n v="14678"/>
    <n v="33492"/>
    <n v="1395.5"/>
    <n v="32637"/>
    <n v="1359.875"/>
    <n v="10407.866666666667"/>
    <n v="10345.674999999999"/>
  </r>
  <r>
    <x v="9"/>
    <s v="North Carolina Central University "/>
    <m/>
    <n v="199157"/>
    <x v="2"/>
    <s v="sem"/>
    <s v="sem"/>
    <m/>
    <m/>
    <n v="81883"/>
    <n v="79755"/>
    <n v="24228"/>
    <n v="27549"/>
    <n v="86203"/>
    <n v="83819"/>
    <n v="192314"/>
    <n v="6410.4666666666662"/>
    <n v="191123"/>
    <n v="6370.7666666666664"/>
    <n v="5669"/>
    <n v="4064"/>
    <n v="192314"/>
    <n v="191123"/>
    <m/>
    <m/>
    <m/>
    <m/>
    <m/>
    <m/>
    <m/>
    <m/>
    <n v="0"/>
    <n v="0"/>
    <n v="0"/>
    <n v="0"/>
    <m/>
    <m/>
    <n v="0"/>
    <n v="0"/>
    <m/>
    <m/>
    <n v="18748"/>
    <n v="18298"/>
    <n v="5389"/>
    <n v="5328"/>
    <n v="19118"/>
    <n v="17830"/>
    <n v="43255"/>
    <n v="1802.2916666666667"/>
    <n v="41456"/>
    <n v="1727.3333333333333"/>
    <n v="8212.7583333333332"/>
    <n v="8098.0999999999995"/>
  </r>
  <r>
    <x v="9"/>
    <s v="University of North Carolina at Wilmington"/>
    <m/>
    <n v="199218"/>
    <x v="2"/>
    <s v="sem"/>
    <s v="sem"/>
    <m/>
    <m/>
    <n v="150020"/>
    <n v="152800"/>
    <n v="29034"/>
    <n v="29802"/>
    <n v="164006"/>
    <n v="167002"/>
    <n v="343060"/>
    <n v="11435.333333333334"/>
    <n v="349604"/>
    <n v="11653.466666666667"/>
    <n v="2450"/>
    <n v="1970"/>
    <n v="343060"/>
    <n v="349604"/>
    <m/>
    <m/>
    <m/>
    <m/>
    <m/>
    <m/>
    <m/>
    <m/>
    <n v="0"/>
    <n v="0"/>
    <n v="0"/>
    <n v="0"/>
    <m/>
    <m/>
    <n v="0"/>
    <n v="0"/>
    <m/>
    <m/>
    <n v="9176"/>
    <n v="8886"/>
    <n v="2840"/>
    <n v="2468"/>
    <n v="9532"/>
    <n v="8879"/>
    <n v="21548"/>
    <n v="897.83333333333337"/>
    <n v="20233"/>
    <n v="843.04166666666663"/>
    <n v="12333.166666666668"/>
    <n v="12496.508333333333"/>
  </r>
  <r>
    <x v="9"/>
    <s v="Western Carolina University "/>
    <m/>
    <n v="200004"/>
    <x v="2"/>
    <s v="sem"/>
    <s v="sem"/>
    <m/>
    <m/>
    <n v="93339"/>
    <n v="96356"/>
    <n v="15648"/>
    <n v="15932"/>
    <n v="101655"/>
    <n v="103553"/>
    <n v="210642"/>
    <n v="7021.4"/>
    <n v="215841"/>
    <n v="7194.7"/>
    <n v="0"/>
    <n v="0"/>
    <n v="210642"/>
    <n v="215841"/>
    <m/>
    <m/>
    <m/>
    <m/>
    <m/>
    <m/>
    <m/>
    <m/>
    <n v="0"/>
    <n v="0"/>
    <n v="0"/>
    <n v="0"/>
    <m/>
    <m/>
    <n v="0"/>
    <n v="0"/>
    <m/>
    <m/>
    <n v="13276"/>
    <n v="12433"/>
    <n v="7020"/>
    <n v="6089"/>
    <n v="13520"/>
    <n v="12691"/>
    <n v="33816"/>
    <n v="1409"/>
    <n v="31213"/>
    <n v="1300.5416666666667"/>
    <n v="8430.4"/>
    <n v="8495.2416666666668"/>
  </r>
  <r>
    <x v="9"/>
    <s v="Fayetteville State University "/>
    <m/>
    <n v="198543"/>
    <x v="3"/>
    <s v="sem"/>
    <s v="sem"/>
    <m/>
    <m/>
    <n v="63397"/>
    <n v="61292"/>
    <n v="19301"/>
    <n v="20723"/>
    <n v="62131"/>
    <n v="66367"/>
    <n v="144829"/>
    <n v="4827.6333333333332"/>
    <n v="148382"/>
    <n v="4946.0666666666666"/>
    <n v="3887"/>
    <n v="2856"/>
    <n v="144829"/>
    <n v="148382"/>
    <m/>
    <m/>
    <m/>
    <m/>
    <m/>
    <m/>
    <m/>
    <m/>
    <n v="0"/>
    <n v="0"/>
    <n v="0"/>
    <n v="0"/>
    <m/>
    <m/>
    <n v="0"/>
    <n v="0"/>
    <m/>
    <m/>
    <n v="3865"/>
    <n v="4250"/>
    <n v="1367"/>
    <n v="1711"/>
    <n v="4239"/>
    <n v="4887"/>
    <n v="9471"/>
    <n v="394.625"/>
    <n v="10848"/>
    <n v="452"/>
    <n v="5222.2583333333332"/>
    <n v="5398.0666666666666"/>
  </r>
  <r>
    <x v="9"/>
    <s v="University of North Carolina at Pembroke"/>
    <m/>
    <n v="199281"/>
    <x v="4"/>
    <s v="sem"/>
    <s v="sem"/>
    <m/>
    <m/>
    <n v="71193"/>
    <n v="69387"/>
    <n v="20215"/>
    <n v="18862"/>
    <n v="77729"/>
    <n v="70204"/>
    <n v="169137"/>
    <n v="5637.9"/>
    <n v="158453"/>
    <n v="5281.7666666666664"/>
    <n v="0"/>
    <n v="0"/>
    <n v="169137"/>
    <n v="158453"/>
    <m/>
    <m/>
    <m/>
    <m/>
    <m/>
    <m/>
    <m/>
    <m/>
    <n v="0"/>
    <n v="0"/>
    <n v="0"/>
    <n v="0"/>
    <m/>
    <m/>
    <n v="0"/>
    <n v="0"/>
    <m/>
    <m/>
    <n v="4054"/>
    <n v="4395"/>
    <n v="2604"/>
    <n v="2861"/>
    <n v="4434"/>
    <n v="4418"/>
    <n v="11092"/>
    <n v="462.16666666666669"/>
    <n v="11674"/>
    <n v="486.41666666666669"/>
    <n v="6100.0666666666666"/>
    <n v="5768.1833333333334"/>
  </r>
  <r>
    <x v="9"/>
    <s v="Winston-Salem State University "/>
    <m/>
    <n v="199999"/>
    <x v="4"/>
    <s v="sem"/>
    <s v="sem"/>
    <m/>
    <m/>
    <n v="77325"/>
    <n v="73940"/>
    <n v="15086"/>
    <n v="18550"/>
    <n v="81301"/>
    <n v="77974"/>
    <n v="173712"/>
    <n v="5790.4"/>
    <n v="170464"/>
    <n v="5682.1333333333332"/>
    <n v="0"/>
    <n v="0"/>
    <n v="173712"/>
    <n v="170464"/>
    <m/>
    <m/>
    <m/>
    <m/>
    <m/>
    <m/>
    <m/>
    <m/>
    <n v="0"/>
    <n v="0"/>
    <n v="0"/>
    <n v="0"/>
    <m/>
    <m/>
    <n v="0"/>
    <n v="0"/>
    <m/>
    <m/>
    <n v="4484"/>
    <n v="4711"/>
    <n v="1689"/>
    <n v="2074"/>
    <n v="4611"/>
    <n v="4569"/>
    <n v="10784"/>
    <n v="449.33333333333331"/>
    <n v="11354"/>
    <n v="473.08333333333331"/>
    <n v="6239.7333333333327"/>
    <n v="6155.2166666666662"/>
  </r>
  <r>
    <x v="9"/>
    <s v="Elizabeth City State University "/>
    <m/>
    <n v="198507"/>
    <x v="5"/>
    <s v="sem"/>
    <s v="sem"/>
    <m/>
    <m/>
    <n v="42958"/>
    <n v="42025"/>
    <n v="10611"/>
    <n v="13220"/>
    <n v="46482"/>
    <n v="40030"/>
    <n v="100051"/>
    <n v="3335.0333333333333"/>
    <n v="95275"/>
    <n v="3175.8333333333335"/>
    <n v="0"/>
    <n v="0"/>
    <n v="100051"/>
    <n v="95275"/>
    <m/>
    <m/>
    <m/>
    <m/>
    <m/>
    <m/>
    <m/>
    <m/>
    <n v="0"/>
    <n v="0"/>
    <n v="0"/>
    <n v="0"/>
    <m/>
    <m/>
    <n v="0"/>
    <n v="0"/>
    <m/>
    <m/>
    <n v="426"/>
    <n v="478"/>
    <n v="330"/>
    <n v="460"/>
    <n v="320"/>
    <n v="592"/>
    <n v="1076"/>
    <n v="44.833333333333336"/>
    <n v="1530"/>
    <n v="63.75"/>
    <n v="3379.8666666666668"/>
    <n v="3239.5833333333335"/>
  </r>
  <r>
    <x v="9"/>
    <s v="University of North Carolina at Asheville"/>
    <m/>
    <n v="199111"/>
    <x v="5"/>
    <s v="sem"/>
    <s v="sem"/>
    <m/>
    <m/>
    <n v="47045"/>
    <n v="46895"/>
    <n v="4747"/>
    <n v="5398"/>
    <n v="50673"/>
    <n v="49074"/>
    <n v="102465"/>
    <n v="3415.5"/>
    <n v="101367"/>
    <n v="3378.9"/>
    <n v="251"/>
    <n v="0"/>
    <n v="102465"/>
    <n v="101367"/>
    <m/>
    <m/>
    <m/>
    <m/>
    <m/>
    <m/>
    <m/>
    <m/>
    <n v="0"/>
    <n v="0"/>
    <n v="0"/>
    <n v="0"/>
    <m/>
    <m/>
    <n v="0"/>
    <n v="0"/>
    <m/>
    <m/>
    <n v="210"/>
    <n v="292"/>
    <n v="9"/>
    <n v="11"/>
    <n v="224"/>
    <n v="239"/>
    <n v="443"/>
    <n v="18.458333333333332"/>
    <n v="542"/>
    <n v="22.583333333333332"/>
    <n v="3433.9583333333335"/>
    <n v="3401.4833333333336"/>
  </r>
  <r>
    <x v="9"/>
    <s v="Asheville-Buncombe Technical Community College"/>
    <m/>
    <n v="197887"/>
    <x v="6"/>
    <s v="sem"/>
    <s v="sem"/>
    <m/>
    <m/>
    <n v="65873"/>
    <n v="71980"/>
    <n v="18786"/>
    <n v="20321"/>
    <n v="74757"/>
    <n v="75991"/>
    <n v="159416"/>
    <n v="5313.8666666666668"/>
    <n v="168292"/>
    <n v="5609.7333333333336"/>
    <n v="15632"/>
    <n v="14859"/>
    <n v="159416"/>
    <n v="168292"/>
    <m/>
    <m/>
    <m/>
    <m/>
    <m/>
    <m/>
    <m/>
    <m/>
    <n v="0"/>
    <n v="0"/>
    <n v="0"/>
    <n v="0"/>
    <m/>
    <m/>
    <n v="0"/>
    <n v="0"/>
    <m/>
    <m/>
    <m/>
    <m/>
    <m/>
    <m/>
    <m/>
    <m/>
    <n v="0"/>
    <n v="0"/>
    <n v="0"/>
    <n v="0"/>
    <n v="5313.8666666666668"/>
    <n v="5609.7333333333336"/>
  </r>
  <r>
    <x v="9"/>
    <s v="Cape Fear Community College"/>
    <m/>
    <n v="198154"/>
    <x v="6"/>
    <s v="sem"/>
    <s v="sem"/>
    <m/>
    <m/>
    <n v="91061"/>
    <n v="95828"/>
    <n v="23447"/>
    <n v="24078"/>
    <n v="98041"/>
    <n v="98659"/>
    <n v="212549"/>
    <n v="7084.9666666666662"/>
    <n v="218565"/>
    <n v="7285.5"/>
    <n v="5629"/>
    <n v="6656"/>
    <n v="212549"/>
    <n v="218565"/>
    <m/>
    <m/>
    <m/>
    <m/>
    <m/>
    <m/>
    <m/>
    <m/>
    <n v="0"/>
    <n v="0"/>
    <n v="0"/>
    <n v="0"/>
    <m/>
    <m/>
    <n v="0"/>
    <n v="0"/>
    <m/>
    <m/>
    <m/>
    <m/>
    <m/>
    <m/>
    <m/>
    <m/>
    <n v="0"/>
    <n v="0"/>
    <n v="0"/>
    <n v="0"/>
    <n v="7084.9666666666662"/>
    <n v="7285.5"/>
  </r>
  <r>
    <x v="9"/>
    <s v="Central Piedmont Community College "/>
    <m/>
    <n v="198260"/>
    <x v="6"/>
    <s v="sem"/>
    <s v="sem"/>
    <m/>
    <m/>
    <n v="176551"/>
    <n v="185959"/>
    <n v="50648"/>
    <n v="54528"/>
    <n v="182344"/>
    <n v="182241"/>
    <n v="409543"/>
    <n v="13651.433333333332"/>
    <n v="422728"/>
    <n v="14090.933333333332"/>
    <n v="4937"/>
    <n v="4741"/>
    <n v="409543"/>
    <n v="422728"/>
    <m/>
    <m/>
    <m/>
    <m/>
    <m/>
    <m/>
    <m/>
    <m/>
    <n v="0"/>
    <n v="0"/>
    <n v="0"/>
    <n v="0"/>
    <m/>
    <m/>
    <n v="0"/>
    <n v="0"/>
    <m/>
    <m/>
    <m/>
    <m/>
    <m/>
    <m/>
    <m/>
    <m/>
    <n v="0"/>
    <n v="0"/>
    <n v="0"/>
    <n v="0"/>
    <n v="13651.433333333332"/>
    <n v="14090.933333333332"/>
  </r>
  <r>
    <x v="9"/>
    <s v="Fayetteville Technical Community College"/>
    <m/>
    <n v="198534"/>
    <x v="6"/>
    <s v="sem"/>
    <s v="sem"/>
    <m/>
    <m/>
    <n v="110789"/>
    <n v="102826"/>
    <n v="29015"/>
    <n v="26569"/>
    <n v="102538"/>
    <n v="108927"/>
    <n v="242342"/>
    <n v="8078.0666666666666"/>
    <n v="238322"/>
    <n v="7944.0666666666666"/>
    <n v="5595"/>
    <n v="4886"/>
    <n v="242342"/>
    <n v="238322"/>
    <m/>
    <m/>
    <m/>
    <m/>
    <m/>
    <m/>
    <m/>
    <m/>
    <n v="0"/>
    <n v="0"/>
    <n v="0"/>
    <n v="0"/>
    <m/>
    <m/>
    <n v="0"/>
    <n v="0"/>
    <m/>
    <m/>
    <m/>
    <m/>
    <m/>
    <m/>
    <m/>
    <m/>
    <n v="0"/>
    <n v="0"/>
    <n v="0"/>
    <n v="0"/>
    <n v="8078.0666666666666"/>
    <n v="7944.0666666666666"/>
  </r>
  <r>
    <x v="9"/>
    <s v="Forsyth Technical Community College"/>
    <m/>
    <n v="198552"/>
    <x v="6"/>
    <s v="sem"/>
    <s v="sem"/>
    <m/>
    <m/>
    <n v="91567"/>
    <n v="95222"/>
    <n v="27211"/>
    <n v="26145"/>
    <n v="96293"/>
    <n v="103072"/>
    <n v="215071"/>
    <n v="7169.0333333333338"/>
    <n v="224439"/>
    <n v="7481.3"/>
    <n v="6581"/>
    <n v="7309"/>
    <n v="215071"/>
    <n v="224439"/>
    <m/>
    <m/>
    <m/>
    <m/>
    <m/>
    <m/>
    <m/>
    <m/>
    <n v="0"/>
    <n v="0"/>
    <n v="0"/>
    <n v="0"/>
    <m/>
    <m/>
    <n v="0"/>
    <n v="0"/>
    <m/>
    <m/>
    <m/>
    <m/>
    <m/>
    <m/>
    <m/>
    <m/>
    <n v="0"/>
    <n v="0"/>
    <n v="0"/>
    <n v="0"/>
    <n v="7169.0333333333338"/>
    <n v="7481.3"/>
  </r>
  <r>
    <x v="9"/>
    <s v="Gaston College "/>
    <s v="Met criteria for Two-Year 2 in 2011-12."/>
    <n v="198570"/>
    <x v="6"/>
    <s v="sem"/>
    <s v="sem"/>
    <m/>
    <m/>
    <n v="68772"/>
    <n v="67165"/>
    <n v="15375"/>
    <n v="9057"/>
    <n v="67180"/>
    <n v="63331"/>
    <n v="151327"/>
    <n v="5044.2333333333336"/>
    <n v="139553"/>
    <n v="4651.7666666666664"/>
    <n v="5432"/>
    <n v="5038"/>
    <n v="151327"/>
    <n v="139553"/>
    <m/>
    <m/>
    <m/>
    <m/>
    <m/>
    <m/>
    <m/>
    <m/>
    <n v="0"/>
    <n v="0"/>
    <n v="0"/>
    <n v="0"/>
    <m/>
    <m/>
    <n v="0"/>
    <n v="0"/>
    <m/>
    <m/>
    <m/>
    <m/>
    <m/>
    <m/>
    <m/>
    <m/>
    <n v="0"/>
    <n v="0"/>
    <n v="0"/>
    <n v="0"/>
    <n v="5044.2333333333336"/>
    <n v="4651.7666666666664"/>
  </r>
  <r>
    <x v="9"/>
    <s v="Guilford Technical Community College"/>
    <m/>
    <n v="198622"/>
    <x v="6"/>
    <s v="sem"/>
    <s v="sem"/>
    <m/>
    <m/>
    <n v="140188"/>
    <n v="156501"/>
    <n v="35269"/>
    <n v="40673"/>
    <n v="157990"/>
    <n v="160149"/>
    <n v="333447"/>
    <n v="11114.9"/>
    <n v="357323"/>
    <n v="11910.766666666666"/>
    <n v="3428"/>
    <n v="4099"/>
    <n v="333447"/>
    <n v="357323"/>
    <m/>
    <m/>
    <m/>
    <m/>
    <m/>
    <m/>
    <m/>
    <m/>
    <n v="0"/>
    <n v="0"/>
    <n v="0"/>
    <n v="0"/>
    <m/>
    <m/>
    <n v="0"/>
    <n v="0"/>
    <m/>
    <m/>
    <m/>
    <m/>
    <m/>
    <m/>
    <m/>
    <m/>
    <n v="0"/>
    <n v="0"/>
    <n v="0"/>
    <n v="0"/>
    <n v="11114.9"/>
    <n v="11910.766666666666"/>
  </r>
  <r>
    <x v="9"/>
    <s v="Pitt Community College"/>
    <m/>
    <n v="199333"/>
    <x v="6"/>
    <s v="sem"/>
    <s v="sem"/>
    <m/>
    <m/>
    <n v="76578"/>
    <n v="84768"/>
    <n v="26386"/>
    <n v="28416"/>
    <n v="85095"/>
    <n v="85617"/>
    <n v="188059"/>
    <n v="6268.6333333333332"/>
    <n v="198801"/>
    <n v="6626.7"/>
    <n v="3832"/>
    <n v="1906"/>
    <n v="188059"/>
    <n v="198801"/>
    <m/>
    <m/>
    <m/>
    <m/>
    <m/>
    <m/>
    <m/>
    <m/>
    <n v="0"/>
    <n v="0"/>
    <n v="0"/>
    <n v="0"/>
    <m/>
    <m/>
    <n v="0"/>
    <n v="0"/>
    <m/>
    <m/>
    <m/>
    <m/>
    <m/>
    <m/>
    <m/>
    <m/>
    <n v="0"/>
    <n v="0"/>
    <n v="0"/>
    <n v="0"/>
    <n v="6268.6333333333332"/>
    <n v="6626.7"/>
  </r>
  <r>
    <x v="9"/>
    <s v="Rowan-Cabarrus Community College"/>
    <m/>
    <n v="199494"/>
    <x v="6"/>
    <s v="sem"/>
    <s v="sem"/>
    <m/>
    <m/>
    <n v="69916"/>
    <n v="70803"/>
    <n v="20985"/>
    <n v="20290"/>
    <n v="75362"/>
    <n v="69939"/>
    <n v="166263"/>
    <n v="5542.1"/>
    <n v="161032"/>
    <n v="5367.7333333333336"/>
    <n v="4027"/>
    <n v="5700"/>
    <n v="166263"/>
    <n v="161032"/>
    <m/>
    <m/>
    <m/>
    <m/>
    <m/>
    <m/>
    <m/>
    <m/>
    <n v="0"/>
    <n v="0"/>
    <n v="0"/>
    <n v="0"/>
    <m/>
    <m/>
    <n v="0"/>
    <n v="0"/>
    <m/>
    <m/>
    <m/>
    <m/>
    <m/>
    <m/>
    <m/>
    <m/>
    <n v="0"/>
    <n v="0"/>
    <n v="0"/>
    <n v="0"/>
    <n v="5542.1"/>
    <n v="5367.7333333333336"/>
  </r>
  <r>
    <x v="9"/>
    <s v="Wake Technical Community College"/>
    <m/>
    <n v="199856"/>
    <x v="6"/>
    <s v="sem"/>
    <s v="sem"/>
    <m/>
    <m/>
    <n v="146233"/>
    <n v="166641"/>
    <n v="33523"/>
    <n v="36898"/>
    <n v="168403"/>
    <n v="179066"/>
    <n v="348159"/>
    <n v="11605.3"/>
    <n v="382605"/>
    <n v="12753.5"/>
    <n v="3885"/>
    <n v="4379"/>
    <n v="348159"/>
    <n v="382605"/>
    <m/>
    <m/>
    <m/>
    <m/>
    <m/>
    <m/>
    <m/>
    <m/>
    <n v="0"/>
    <n v="0"/>
    <n v="0"/>
    <n v="0"/>
    <m/>
    <m/>
    <n v="0"/>
    <n v="0"/>
    <m/>
    <m/>
    <m/>
    <m/>
    <m/>
    <m/>
    <m/>
    <m/>
    <n v="0"/>
    <n v="0"/>
    <n v="0"/>
    <n v="0"/>
    <n v="11605.3"/>
    <n v="12753.5"/>
  </r>
  <r>
    <x v="9"/>
    <s v="Alamance Community College"/>
    <m/>
    <n v="199786"/>
    <x v="7"/>
    <s v="sem"/>
    <s v="sem"/>
    <m/>
    <m/>
    <n v="52037"/>
    <n v="50548"/>
    <n v="12400"/>
    <n v="12143"/>
    <n v="53057"/>
    <n v="49610"/>
    <n v="117494"/>
    <n v="3916.4666666666667"/>
    <n v="112301"/>
    <n v="3743.3666666666668"/>
    <n v="5158"/>
    <n v="4697"/>
    <n v="117494"/>
    <n v="112301"/>
    <m/>
    <m/>
    <m/>
    <m/>
    <m/>
    <m/>
    <m/>
    <m/>
    <n v="0"/>
    <n v="0"/>
    <n v="0"/>
    <n v="0"/>
    <m/>
    <m/>
    <n v="0"/>
    <n v="0"/>
    <m/>
    <m/>
    <m/>
    <m/>
    <m/>
    <m/>
    <m/>
    <m/>
    <n v="0"/>
    <n v="0"/>
    <n v="0"/>
    <n v="0"/>
    <n v="3916.4666666666667"/>
    <n v="3743.3666666666668"/>
  </r>
  <r>
    <x v="9"/>
    <s v="Caldwell Community College &amp; Technical Institute"/>
    <m/>
    <n v="198118"/>
    <x v="7"/>
    <s v="sem"/>
    <s v="sem"/>
    <m/>
    <m/>
    <n v="46842"/>
    <n v="46092"/>
    <n v="12267"/>
    <n v="11989"/>
    <n v="48475"/>
    <n v="48584"/>
    <n v="107584"/>
    <n v="3586.1333333333332"/>
    <n v="106665"/>
    <n v="3555.5"/>
    <n v="7903"/>
    <n v="9167"/>
    <n v="107584"/>
    <n v="106665"/>
    <m/>
    <m/>
    <m/>
    <m/>
    <m/>
    <m/>
    <m/>
    <m/>
    <n v="0"/>
    <n v="0"/>
    <n v="0"/>
    <n v="0"/>
    <m/>
    <m/>
    <n v="0"/>
    <n v="0"/>
    <m/>
    <m/>
    <m/>
    <m/>
    <m/>
    <m/>
    <m/>
    <m/>
    <n v="0"/>
    <n v="0"/>
    <n v="0"/>
    <n v="0"/>
    <n v="3586.1333333333332"/>
    <n v="3555.5"/>
  </r>
  <r>
    <x v="9"/>
    <s v="Catawba Valley Community College"/>
    <m/>
    <n v="198233"/>
    <x v="7"/>
    <s v="sem"/>
    <s v="sem"/>
    <m/>
    <m/>
    <n v="53475"/>
    <n v="52101"/>
    <n v="17691"/>
    <n v="15020"/>
    <n v="54707"/>
    <n v="51367"/>
    <n v="125873"/>
    <n v="4195.7666666666664"/>
    <n v="118488"/>
    <n v="3949.6"/>
    <n v="7093"/>
    <n v="7057"/>
    <n v="125873"/>
    <n v="118488"/>
    <m/>
    <m/>
    <m/>
    <m/>
    <m/>
    <m/>
    <m/>
    <m/>
    <n v="0"/>
    <n v="0"/>
    <n v="0"/>
    <n v="0"/>
    <m/>
    <m/>
    <n v="0"/>
    <n v="0"/>
    <m/>
    <m/>
    <m/>
    <m/>
    <m/>
    <m/>
    <m/>
    <m/>
    <n v="0"/>
    <n v="0"/>
    <n v="0"/>
    <n v="0"/>
    <n v="4195.7666666666664"/>
    <n v="3949.6"/>
  </r>
  <r>
    <x v="9"/>
    <s v="Central Carolina Commuity College"/>
    <m/>
    <n v="198251"/>
    <x v="7"/>
    <s v="sem"/>
    <s v="sem"/>
    <m/>
    <m/>
    <n v="46970"/>
    <n v="44799"/>
    <n v="8833"/>
    <n v="8096"/>
    <n v="48364"/>
    <n v="43605"/>
    <n v="104167"/>
    <n v="3472.2333333333331"/>
    <n v="96500"/>
    <n v="3216.6666666666665"/>
    <n v="6991"/>
    <n v="7198"/>
    <n v="104167"/>
    <n v="96500"/>
    <m/>
    <m/>
    <m/>
    <m/>
    <m/>
    <m/>
    <m/>
    <m/>
    <n v="0"/>
    <n v="0"/>
    <n v="0"/>
    <n v="0"/>
    <m/>
    <m/>
    <n v="0"/>
    <n v="0"/>
    <m/>
    <m/>
    <m/>
    <m/>
    <m/>
    <m/>
    <m/>
    <m/>
    <n v="0"/>
    <n v="0"/>
    <n v="0"/>
    <n v="0"/>
    <n v="3472.2333333333331"/>
    <n v="3216.6666666666665"/>
  </r>
  <r>
    <x v="9"/>
    <s v="Cleveland Community College"/>
    <m/>
    <n v="198321"/>
    <x v="7"/>
    <s v="sem"/>
    <s v="sem"/>
    <m/>
    <m/>
    <n v="43416"/>
    <n v="36088"/>
    <n v="9303"/>
    <n v="6284"/>
    <n v="40440"/>
    <n v="35825"/>
    <n v="93159"/>
    <n v="3105.3"/>
    <n v="78197"/>
    <n v="2606.5666666666666"/>
    <n v="13664"/>
    <n v="9548"/>
    <n v="93159"/>
    <n v="78197"/>
    <m/>
    <m/>
    <m/>
    <m/>
    <m/>
    <m/>
    <m/>
    <m/>
    <n v="0"/>
    <n v="0"/>
    <n v="0"/>
    <n v="0"/>
    <m/>
    <m/>
    <n v="0"/>
    <n v="0"/>
    <m/>
    <m/>
    <m/>
    <m/>
    <m/>
    <m/>
    <m/>
    <m/>
    <n v="0"/>
    <n v="0"/>
    <n v="0"/>
    <n v="0"/>
    <n v="3105.3"/>
    <n v="2606.5666666666666"/>
  </r>
  <r>
    <x v="9"/>
    <s v="Coastal Carolina Community College "/>
    <m/>
    <n v="198330"/>
    <x v="7"/>
    <s v="sem"/>
    <s v="sem"/>
    <m/>
    <m/>
    <n v="46738"/>
    <n v="46043"/>
    <n v="20701"/>
    <n v="18294"/>
    <n v="48488"/>
    <n v="45408"/>
    <n v="115927"/>
    <n v="3864.2333333333331"/>
    <n v="109745"/>
    <n v="3658.1666666666665"/>
    <n v="485"/>
    <n v="485"/>
    <n v="115927"/>
    <n v="109745"/>
    <m/>
    <m/>
    <m/>
    <m/>
    <m/>
    <m/>
    <m/>
    <m/>
    <n v="0"/>
    <n v="0"/>
    <n v="0"/>
    <n v="0"/>
    <m/>
    <m/>
    <n v="0"/>
    <n v="0"/>
    <m/>
    <m/>
    <m/>
    <m/>
    <m/>
    <m/>
    <m/>
    <m/>
    <n v="0"/>
    <n v="0"/>
    <n v="0"/>
    <n v="0"/>
    <n v="3864.2333333333331"/>
    <n v="3658.1666666666665"/>
  </r>
  <r>
    <x v="9"/>
    <s v="Craven Community College "/>
    <m/>
    <n v="198367"/>
    <x v="7"/>
    <s v="sem"/>
    <s v="sem"/>
    <m/>
    <m/>
    <n v="34169"/>
    <n v="33937"/>
    <n v="10880"/>
    <n v="11016"/>
    <n v="33781"/>
    <n v="33761"/>
    <n v="78830"/>
    <n v="2627.6666666666665"/>
    <n v="78714"/>
    <n v="2623.8"/>
    <n v="3602"/>
    <n v="3973"/>
    <n v="78830"/>
    <n v="78714"/>
    <m/>
    <m/>
    <m/>
    <m/>
    <m/>
    <m/>
    <m/>
    <m/>
    <n v="0"/>
    <n v="0"/>
    <n v="0"/>
    <n v="0"/>
    <m/>
    <m/>
    <n v="0"/>
    <n v="0"/>
    <m/>
    <m/>
    <m/>
    <m/>
    <m/>
    <m/>
    <m/>
    <m/>
    <n v="0"/>
    <n v="0"/>
    <n v="0"/>
    <n v="0"/>
    <n v="2627.6666666666665"/>
    <n v="2623.8"/>
  </r>
  <r>
    <x v="9"/>
    <s v="Davidson County Community College "/>
    <m/>
    <n v="198376"/>
    <x v="7"/>
    <s v="sem"/>
    <s v="sem"/>
    <m/>
    <m/>
    <n v="40297"/>
    <n v="42222"/>
    <n v="11417"/>
    <n v="12076"/>
    <n v="44297"/>
    <n v="42852"/>
    <n v="96011"/>
    <n v="3200.3666666666668"/>
    <n v="97150"/>
    <n v="3238.3333333333335"/>
    <n v="6479"/>
    <n v="5607"/>
    <n v="96011"/>
    <n v="97150"/>
    <m/>
    <m/>
    <m/>
    <m/>
    <m/>
    <m/>
    <m/>
    <m/>
    <n v="0"/>
    <n v="0"/>
    <n v="0"/>
    <n v="0"/>
    <m/>
    <m/>
    <n v="0"/>
    <n v="0"/>
    <m/>
    <m/>
    <m/>
    <m/>
    <m/>
    <m/>
    <m/>
    <m/>
    <n v="0"/>
    <n v="0"/>
    <n v="0"/>
    <n v="0"/>
    <n v="3200.3666666666668"/>
    <n v="3238.3333333333335"/>
  </r>
  <r>
    <x v="9"/>
    <s v="Durham Technical Community College"/>
    <m/>
    <n v="198455"/>
    <x v="7"/>
    <s v="sem"/>
    <s v="sem"/>
    <m/>
    <m/>
    <n v="45379"/>
    <n v="48982"/>
    <n v="11684"/>
    <n v="11736"/>
    <n v="48231"/>
    <n v="44515"/>
    <n v="105294"/>
    <n v="3509.8"/>
    <n v="105233"/>
    <n v="3507.7666666666669"/>
    <n v="2508"/>
    <n v="2515"/>
    <n v="105294"/>
    <n v="105233"/>
    <m/>
    <m/>
    <m/>
    <m/>
    <m/>
    <m/>
    <m/>
    <m/>
    <n v="0"/>
    <n v="0"/>
    <n v="0"/>
    <n v="0"/>
    <m/>
    <m/>
    <n v="0"/>
    <n v="0"/>
    <m/>
    <m/>
    <m/>
    <m/>
    <m/>
    <m/>
    <m/>
    <m/>
    <n v="0"/>
    <n v="0"/>
    <n v="0"/>
    <n v="0"/>
    <n v="3509.8"/>
    <n v="3507.7666666666669"/>
  </r>
  <r>
    <x v="9"/>
    <s v="Edgecombe Community College"/>
    <m/>
    <n v="198491"/>
    <x v="7"/>
    <s v="sem"/>
    <s v="sem"/>
    <m/>
    <m/>
    <n v="31589"/>
    <n v="32378"/>
    <n v="9479"/>
    <n v="9327"/>
    <n v="34423"/>
    <n v="32228"/>
    <n v="75491"/>
    <n v="2516.3666666666668"/>
    <n v="73933"/>
    <n v="2464.4333333333334"/>
    <n v="2952"/>
    <n v="2422"/>
    <n v="75491"/>
    <n v="73933"/>
    <m/>
    <m/>
    <m/>
    <m/>
    <m/>
    <m/>
    <m/>
    <m/>
    <n v="0"/>
    <n v="0"/>
    <n v="0"/>
    <n v="0"/>
    <m/>
    <m/>
    <n v="0"/>
    <n v="0"/>
    <m/>
    <m/>
    <m/>
    <m/>
    <m/>
    <m/>
    <m/>
    <m/>
    <n v="0"/>
    <n v="0"/>
    <n v="0"/>
    <n v="0"/>
    <n v="2516.3666666666668"/>
    <n v="2464.4333333333334"/>
  </r>
  <r>
    <x v="9"/>
    <s v="Haywood Community College"/>
    <s v="Met criteria for Two-Year 3 in 2011-12."/>
    <n v="198668"/>
    <x v="7"/>
    <s v="sem"/>
    <s v="sem"/>
    <m/>
    <m/>
    <n v="20306"/>
    <n v="20543"/>
    <n v="6422"/>
    <n v="5896"/>
    <n v="22782"/>
    <n v="21929"/>
    <n v="49510"/>
    <n v="1650.3333333333333"/>
    <n v="48368"/>
    <n v="1612.2666666666667"/>
    <n v="6245"/>
    <n v="5618"/>
    <n v="49510"/>
    <n v="48368"/>
    <m/>
    <m/>
    <m/>
    <m/>
    <m/>
    <m/>
    <m/>
    <m/>
    <n v="0"/>
    <n v="0"/>
    <n v="0"/>
    <n v="0"/>
    <m/>
    <m/>
    <n v="0"/>
    <n v="0"/>
    <m/>
    <m/>
    <m/>
    <m/>
    <m/>
    <m/>
    <m/>
    <m/>
    <n v="0"/>
    <n v="0"/>
    <n v="0"/>
    <n v="0"/>
    <n v="1650.3333333333333"/>
    <n v="1612.2666666666667"/>
  </r>
  <r>
    <x v="9"/>
    <s v="Isothermal Community College "/>
    <m/>
    <n v="198710"/>
    <x v="7"/>
    <s v="sem"/>
    <s v="sem"/>
    <m/>
    <m/>
    <n v="28731"/>
    <n v="27516"/>
    <n v="9412"/>
    <n v="8611"/>
    <n v="28271"/>
    <n v="24437"/>
    <n v="66414"/>
    <n v="2213.8000000000002"/>
    <n v="60564"/>
    <n v="2018.8"/>
    <n v="8277"/>
    <n v="7068"/>
    <n v="66414"/>
    <n v="60564"/>
    <m/>
    <m/>
    <m/>
    <m/>
    <m/>
    <m/>
    <m/>
    <m/>
    <n v="0"/>
    <n v="0"/>
    <n v="0"/>
    <n v="0"/>
    <m/>
    <m/>
    <n v="0"/>
    <n v="0"/>
    <m/>
    <m/>
    <m/>
    <m/>
    <m/>
    <m/>
    <m/>
    <m/>
    <n v="0"/>
    <n v="0"/>
    <n v="0"/>
    <n v="0"/>
    <n v="2213.8000000000002"/>
    <n v="2018.8"/>
  </r>
  <r>
    <x v="9"/>
    <s v="Johnston Community College"/>
    <m/>
    <n v="198774"/>
    <x v="7"/>
    <s v="sem"/>
    <s v="sem"/>
    <m/>
    <m/>
    <n v="43799"/>
    <n v="44317"/>
    <n v="2390"/>
    <n v="1515"/>
    <n v="45852"/>
    <n v="46752"/>
    <n v="92041"/>
    <n v="3068.0333333333333"/>
    <n v="92584"/>
    <n v="3086.1333333333332"/>
    <n v="6600"/>
    <n v="5883"/>
    <n v="92041"/>
    <n v="92584"/>
    <m/>
    <m/>
    <m/>
    <m/>
    <m/>
    <m/>
    <m/>
    <m/>
    <n v="0"/>
    <n v="0"/>
    <n v="0"/>
    <n v="0"/>
    <m/>
    <m/>
    <n v="0"/>
    <n v="0"/>
    <m/>
    <m/>
    <m/>
    <m/>
    <m/>
    <m/>
    <m/>
    <m/>
    <n v="0"/>
    <n v="0"/>
    <n v="0"/>
    <n v="0"/>
    <n v="3068.0333333333333"/>
    <n v="3086.1333333333332"/>
  </r>
  <r>
    <x v="9"/>
    <s v="Lenoir Community College "/>
    <m/>
    <n v="198817"/>
    <x v="7"/>
    <s v="sem"/>
    <s v="sem"/>
    <m/>
    <m/>
    <n v="35050"/>
    <n v="33676"/>
    <n v="11623"/>
    <n v="10881"/>
    <n v="35088"/>
    <n v="32682"/>
    <n v="81761"/>
    <n v="2725.3666666666668"/>
    <n v="77239"/>
    <n v="2574.6333333333332"/>
    <n v="7245"/>
    <n v="8738"/>
    <n v="81761"/>
    <n v="77239"/>
    <m/>
    <m/>
    <m/>
    <m/>
    <m/>
    <m/>
    <m/>
    <m/>
    <n v="0"/>
    <n v="0"/>
    <n v="0"/>
    <n v="0"/>
    <m/>
    <m/>
    <n v="0"/>
    <n v="0"/>
    <m/>
    <m/>
    <m/>
    <m/>
    <m/>
    <m/>
    <m/>
    <m/>
    <n v="0"/>
    <n v="0"/>
    <n v="0"/>
    <n v="0"/>
    <n v="2725.3666666666668"/>
    <n v="2574.6333333333332"/>
  </r>
  <r>
    <x v="9"/>
    <s v="Mitchell Community College "/>
    <m/>
    <n v="198987"/>
    <x v="7"/>
    <s v="sem"/>
    <s v="sem"/>
    <m/>
    <m/>
    <n v="33493"/>
    <n v="34327"/>
    <n v="7687"/>
    <n v="8519"/>
    <n v="34876"/>
    <n v="35718"/>
    <n v="76056"/>
    <n v="2535.1999999999998"/>
    <n v="78564"/>
    <n v="2618.8000000000002"/>
    <n v="5683"/>
    <n v="7048"/>
    <n v="76056"/>
    <n v="78564"/>
    <m/>
    <m/>
    <m/>
    <m/>
    <m/>
    <m/>
    <m/>
    <m/>
    <n v="0"/>
    <n v="0"/>
    <n v="0"/>
    <n v="0"/>
    <m/>
    <m/>
    <n v="0"/>
    <n v="0"/>
    <m/>
    <m/>
    <m/>
    <m/>
    <m/>
    <m/>
    <m/>
    <m/>
    <n v="0"/>
    <n v="0"/>
    <n v="0"/>
    <n v="0"/>
    <n v="2535.1999999999998"/>
    <n v="2618.8000000000002"/>
  </r>
  <r>
    <x v="9"/>
    <s v="Nash Community College"/>
    <m/>
    <n v="199087"/>
    <x v="7"/>
    <s v="sem"/>
    <s v="sem"/>
    <m/>
    <m/>
    <n v="28396"/>
    <n v="28392"/>
    <n v="4839"/>
    <n v="4866"/>
    <n v="28711"/>
    <n v="31440"/>
    <n v="61946"/>
    <n v="2064.8666666666668"/>
    <n v="64698"/>
    <n v="2156.6"/>
    <n v="4860"/>
    <n v="5016"/>
    <n v="61946"/>
    <n v="64698"/>
    <m/>
    <m/>
    <m/>
    <m/>
    <m/>
    <m/>
    <m/>
    <m/>
    <n v="0"/>
    <n v="0"/>
    <n v="0"/>
    <n v="0"/>
    <m/>
    <m/>
    <n v="0"/>
    <n v="0"/>
    <m/>
    <m/>
    <m/>
    <m/>
    <m/>
    <m/>
    <m/>
    <m/>
    <n v="0"/>
    <n v="0"/>
    <n v="0"/>
    <n v="0"/>
    <n v="2064.8666666666668"/>
    <n v="2156.6"/>
  </r>
  <r>
    <x v="9"/>
    <s v="Randolph Community College"/>
    <m/>
    <n v="199421"/>
    <x v="7"/>
    <s v="sem"/>
    <s v="sem"/>
    <m/>
    <m/>
    <n v="27557"/>
    <n v="27956"/>
    <n v="6613"/>
    <n v="5967"/>
    <n v="29731"/>
    <n v="29558"/>
    <n v="63901"/>
    <n v="2130.0333333333333"/>
    <n v="63481"/>
    <n v="2116.0333333333333"/>
    <n v="6137"/>
    <n v="4965"/>
    <n v="63901"/>
    <n v="63481"/>
    <m/>
    <m/>
    <m/>
    <m/>
    <m/>
    <m/>
    <m/>
    <m/>
    <n v="0"/>
    <n v="0"/>
    <n v="0"/>
    <n v="0"/>
    <m/>
    <m/>
    <n v="0"/>
    <n v="0"/>
    <m/>
    <m/>
    <m/>
    <m/>
    <m/>
    <m/>
    <m/>
    <m/>
    <n v="0"/>
    <n v="0"/>
    <n v="0"/>
    <n v="0"/>
    <n v="2130.0333333333333"/>
    <n v="2116.0333333333333"/>
  </r>
  <r>
    <x v="9"/>
    <s v="Robeson Community College"/>
    <m/>
    <n v="199476"/>
    <x v="7"/>
    <s v="sem"/>
    <s v="sem"/>
    <m/>
    <m/>
    <n v="27802"/>
    <n v="27587"/>
    <n v="7062"/>
    <n v="6576"/>
    <n v="27671"/>
    <n v="29391"/>
    <n v="62535"/>
    <n v="2084.5"/>
    <n v="63554"/>
    <n v="2118.4666666666667"/>
    <n v="2515"/>
    <n v="2292"/>
    <n v="62535"/>
    <n v="63554"/>
    <m/>
    <m/>
    <m/>
    <m/>
    <m/>
    <m/>
    <m/>
    <m/>
    <n v="0"/>
    <n v="0"/>
    <n v="0"/>
    <n v="0"/>
    <m/>
    <m/>
    <n v="0"/>
    <n v="0"/>
    <m/>
    <m/>
    <m/>
    <m/>
    <m/>
    <m/>
    <m/>
    <m/>
    <n v="0"/>
    <n v="0"/>
    <n v="0"/>
    <n v="0"/>
    <n v="2084.5"/>
    <n v="2118.4666666666667"/>
  </r>
  <r>
    <x v="9"/>
    <s v="Sandhills Community College "/>
    <m/>
    <n v="199634"/>
    <x v="7"/>
    <s v="sem"/>
    <s v="sem"/>
    <m/>
    <m/>
    <n v="37425"/>
    <n v="39316"/>
    <n v="12174"/>
    <n v="12244"/>
    <n v="40120"/>
    <n v="39847"/>
    <n v="89719"/>
    <n v="2990.6333333333332"/>
    <n v="91407"/>
    <n v="3046.9"/>
    <n v="3377"/>
    <n v="3311"/>
    <n v="89719"/>
    <n v="91407"/>
    <m/>
    <m/>
    <m/>
    <m/>
    <m/>
    <m/>
    <m/>
    <m/>
    <n v="0"/>
    <n v="0"/>
    <n v="0"/>
    <n v="0"/>
    <m/>
    <m/>
    <n v="0"/>
    <n v="0"/>
    <m/>
    <m/>
    <m/>
    <m/>
    <m/>
    <m/>
    <m/>
    <m/>
    <n v="0"/>
    <n v="0"/>
    <n v="0"/>
    <n v="0"/>
    <n v="2990.6333333333332"/>
    <n v="3046.9"/>
  </r>
  <r>
    <x v="9"/>
    <s v="Stanly Community College"/>
    <m/>
    <n v="199740"/>
    <x v="7"/>
    <s v="sem"/>
    <s v="sem"/>
    <m/>
    <m/>
    <n v="29391"/>
    <n v="30381"/>
    <n v="8872"/>
    <n v="7991"/>
    <n v="31180"/>
    <n v="30647"/>
    <n v="69443"/>
    <n v="2314.7666666666669"/>
    <n v="69019"/>
    <n v="2300.6333333333332"/>
    <n v="2903"/>
    <n v="2830"/>
    <n v="69443"/>
    <n v="69019"/>
    <m/>
    <m/>
    <m/>
    <m/>
    <m/>
    <m/>
    <m/>
    <m/>
    <n v="0"/>
    <n v="0"/>
    <n v="0"/>
    <n v="0"/>
    <m/>
    <m/>
    <n v="0"/>
    <n v="0"/>
    <m/>
    <m/>
    <m/>
    <m/>
    <m/>
    <m/>
    <m/>
    <m/>
    <n v="0"/>
    <n v="0"/>
    <n v="0"/>
    <n v="0"/>
    <n v="2314.7666666666669"/>
    <n v="2300.6333333333332"/>
  </r>
  <r>
    <x v="9"/>
    <s v="Surry Community College "/>
    <m/>
    <n v="199768"/>
    <x v="7"/>
    <s v="sem"/>
    <s v="sem"/>
    <m/>
    <m/>
    <n v="34094"/>
    <n v="32650"/>
    <n v="8554"/>
    <n v="6616"/>
    <n v="34234"/>
    <n v="35128"/>
    <n v="76882"/>
    <n v="2562.7333333333331"/>
    <n v="74394"/>
    <n v="2479.8000000000002"/>
    <n v="7040"/>
    <n v="7513"/>
    <n v="76882"/>
    <n v="74394"/>
    <m/>
    <m/>
    <m/>
    <m/>
    <m/>
    <m/>
    <m/>
    <m/>
    <n v="0"/>
    <n v="0"/>
    <n v="0"/>
    <n v="0"/>
    <m/>
    <m/>
    <n v="0"/>
    <n v="0"/>
    <m/>
    <m/>
    <m/>
    <m/>
    <m/>
    <m/>
    <m/>
    <m/>
    <n v="0"/>
    <n v="0"/>
    <n v="0"/>
    <n v="0"/>
    <n v="2562.7333333333331"/>
    <n v="2479.8000000000002"/>
  </r>
  <r>
    <x v="9"/>
    <s v="Vance-Granville Community College "/>
    <m/>
    <n v="199838"/>
    <x v="7"/>
    <s v="sem"/>
    <s v="sem"/>
    <m/>
    <m/>
    <n v="40516"/>
    <n v="37606"/>
    <n v="7845"/>
    <n v="6683"/>
    <n v="38866"/>
    <n v="39449"/>
    <n v="87227"/>
    <n v="2907.5666666666666"/>
    <n v="83738"/>
    <n v="2791.2666666666669"/>
    <n v="6495"/>
    <n v="7751"/>
    <n v="87227"/>
    <n v="83738"/>
    <m/>
    <m/>
    <m/>
    <m/>
    <m/>
    <m/>
    <m/>
    <m/>
    <n v="0"/>
    <n v="0"/>
    <n v="0"/>
    <n v="0"/>
    <m/>
    <m/>
    <n v="0"/>
    <n v="0"/>
    <m/>
    <m/>
    <m/>
    <m/>
    <m/>
    <m/>
    <m/>
    <m/>
    <n v="0"/>
    <n v="0"/>
    <n v="0"/>
    <n v="0"/>
    <n v="2907.5666666666666"/>
    <n v="2791.2666666666669"/>
  </r>
  <r>
    <x v="9"/>
    <s v="Wayne Community College"/>
    <m/>
    <n v="199892"/>
    <x v="7"/>
    <s v="sem"/>
    <s v="sem"/>
    <m/>
    <m/>
    <n v="36396"/>
    <n v="38166"/>
    <n v="7375"/>
    <n v="7943"/>
    <n v="39976"/>
    <n v="38232"/>
    <n v="83747"/>
    <n v="2791.5666666666666"/>
    <n v="84341"/>
    <n v="2811.3666666666668"/>
    <n v="5768"/>
    <n v="5719"/>
    <n v="83747"/>
    <n v="84341"/>
    <m/>
    <m/>
    <m/>
    <m/>
    <m/>
    <m/>
    <m/>
    <m/>
    <n v="0"/>
    <n v="0"/>
    <n v="0"/>
    <n v="0"/>
    <m/>
    <m/>
    <n v="0"/>
    <n v="0"/>
    <m/>
    <m/>
    <m/>
    <m/>
    <m/>
    <m/>
    <m/>
    <m/>
    <n v="0"/>
    <n v="0"/>
    <n v="0"/>
    <n v="0"/>
    <n v="2791.5666666666666"/>
    <n v="2811.3666666666668"/>
  </r>
  <r>
    <x v="9"/>
    <s v="Western Piedmont Community College "/>
    <m/>
    <n v="199908"/>
    <x v="7"/>
    <s v="sem"/>
    <s v="sem"/>
    <m/>
    <m/>
    <n v="35758"/>
    <n v="33292"/>
    <n v="10455"/>
    <n v="10232"/>
    <n v="35279"/>
    <n v="32716"/>
    <n v="81492"/>
    <n v="2716.4"/>
    <n v="76240"/>
    <n v="2541.3333333333335"/>
    <n v="3711"/>
    <n v="4344"/>
    <n v="81492"/>
    <n v="76240"/>
    <m/>
    <m/>
    <m/>
    <m/>
    <m/>
    <m/>
    <m/>
    <m/>
    <n v="0"/>
    <n v="0"/>
    <n v="0"/>
    <n v="0"/>
    <m/>
    <m/>
    <n v="0"/>
    <n v="0"/>
    <m/>
    <m/>
    <m/>
    <m/>
    <m/>
    <m/>
    <m/>
    <m/>
    <n v="0"/>
    <n v="0"/>
    <n v="0"/>
    <n v="0"/>
    <n v="2716.4"/>
    <n v="2541.3333333333335"/>
  </r>
  <r>
    <x v="9"/>
    <s v="Wilkes Community College "/>
    <m/>
    <n v="199926"/>
    <x v="7"/>
    <s v="sem"/>
    <s v="sem"/>
    <m/>
    <m/>
    <n v="29913"/>
    <n v="28350"/>
    <n v="5023"/>
    <n v="5501"/>
    <n v="30882"/>
    <n v="28429"/>
    <n v="65818"/>
    <n v="2193.9333333333334"/>
    <n v="62280"/>
    <n v="2076"/>
    <n v="2329"/>
    <n v="2358"/>
    <n v="65818"/>
    <n v="62280"/>
    <m/>
    <m/>
    <m/>
    <m/>
    <m/>
    <m/>
    <m/>
    <m/>
    <n v="0"/>
    <n v="0"/>
    <n v="0"/>
    <n v="0"/>
    <m/>
    <m/>
    <n v="0"/>
    <n v="0"/>
    <m/>
    <m/>
    <m/>
    <m/>
    <m/>
    <m/>
    <m/>
    <m/>
    <n v="0"/>
    <n v="0"/>
    <n v="0"/>
    <n v="0"/>
    <n v="2193.9333333333334"/>
    <n v="2076"/>
  </r>
  <r>
    <x v="9"/>
    <s v="Beaufort County Community College "/>
    <m/>
    <n v="197966"/>
    <x v="8"/>
    <s v="sem"/>
    <s v="sem"/>
    <m/>
    <m/>
    <n v="18277"/>
    <n v="17788"/>
    <n v="2472"/>
    <n v="3343"/>
    <n v="19253"/>
    <n v="19184"/>
    <n v="40002"/>
    <n v="1333.4"/>
    <n v="40315"/>
    <n v="1343.8333333333333"/>
    <n v="1325"/>
    <n v="2396"/>
    <n v="40002"/>
    <n v="40315"/>
    <m/>
    <m/>
    <m/>
    <m/>
    <m/>
    <m/>
    <m/>
    <m/>
    <n v="0"/>
    <n v="0"/>
    <n v="0"/>
    <n v="0"/>
    <m/>
    <m/>
    <n v="0"/>
    <n v="0"/>
    <m/>
    <m/>
    <m/>
    <m/>
    <m/>
    <m/>
    <m/>
    <m/>
    <n v="0"/>
    <n v="0"/>
    <n v="0"/>
    <n v="0"/>
    <n v="1333.4"/>
    <n v="1343.8333333333333"/>
  </r>
  <r>
    <x v="9"/>
    <s v="Bladen Community College"/>
    <m/>
    <n v="198011"/>
    <x v="8"/>
    <s v="sem"/>
    <s v="sem"/>
    <m/>
    <m/>
    <n v="19038"/>
    <n v="18108"/>
    <n v="3156"/>
    <n v="2366"/>
    <n v="20188"/>
    <n v="17585"/>
    <n v="42382"/>
    <n v="1412.7333333333333"/>
    <n v="38059"/>
    <n v="1268.6333333333334"/>
    <n v="534"/>
    <n v="329"/>
    <n v="42382"/>
    <n v="38059"/>
    <m/>
    <m/>
    <m/>
    <m/>
    <m/>
    <m/>
    <m/>
    <m/>
    <n v="0"/>
    <n v="0"/>
    <n v="0"/>
    <n v="0"/>
    <m/>
    <m/>
    <n v="0"/>
    <n v="0"/>
    <m/>
    <m/>
    <m/>
    <m/>
    <m/>
    <m/>
    <m/>
    <m/>
    <n v="0"/>
    <n v="0"/>
    <n v="0"/>
    <n v="0"/>
    <n v="1412.7333333333333"/>
    <n v="1268.6333333333334"/>
  </r>
  <r>
    <x v="9"/>
    <s v="Blue Ridge Community College"/>
    <m/>
    <n v="198039"/>
    <x v="8"/>
    <s v="sem"/>
    <s v="sem"/>
    <m/>
    <m/>
    <n v="21642"/>
    <n v="21599"/>
    <n v="6014"/>
    <n v="5334"/>
    <n v="22815"/>
    <n v="22761"/>
    <n v="50471"/>
    <n v="1682.3666666666666"/>
    <n v="49694"/>
    <n v="1656.4666666666667"/>
    <n v="2698"/>
    <n v="3393"/>
    <n v="50471"/>
    <n v="49694"/>
    <m/>
    <m/>
    <m/>
    <m/>
    <m/>
    <m/>
    <m/>
    <m/>
    <n v="0"/>
    <n v="0"/>
    <n v="0"/>
    <n v="0"/>
    <m/>
    <m/>
    <n v="0"/>
    <n v="0"/>
    <m/>
    <m/>
    <m/>
    <m/>
    <m/>
    <m/>
    <m/>
    <m/>
    <n v="0"/>
    <n v="0"/>
    <n v="0"/>
    <n v="0"/>
    <n v="1682.3666666666666"/>
    <n v="1656.4666666666667"/>
  </r>
  <r>
    <x v="9"/>
    <s v="Brunswick Community College"/>
    <m/>
    <n v="198084"/>
    <x v="8"/>
    <s v="sem"/>
    <s v="sem"/>
    <m/>
    <m/>
    <n v="14990"/>
    <n v="14408"/>
    <n v="764"/>
    <n v="2620"/>
    <n v="15080"/>
    <n v="16033"/>
    <n v="30834"/>
    <n v="1027.8"/>
    <n v="33061"/>
    <n v="1102.0333333333333"/>
    <n v="3095"/>
    <n v="3384"/>
    <n v="30834"/>
    <n v="33061"/>
    <m/>
    <m/>
    <m/>
    <m/>
    <m/>
    <m/>
    <m/>
    <m/>
    <n v="0"/>
    <n v="0"/>
    <n v="0"/>
    <n v="0"/>
    <m/>
    <m/>
    <n v="0"/>
    <n v="0"/>
    <m/>
    <m/>
    <m/>
    <m/>
    <m/>
    <m/>
    <m/>
    <m/>
    <n v="0"/>
    <n v="0"/>
    <n v="0"/>
    <n v="0"/>
    <n v="1027.8"/>
    <n v="1102.0333333333333"/>
  </r>
  <r>
    <x v="9"/>
    <s v="Carteret Community College"/>
    <m/>
    <n v="198206"/>
    <x v="8"/>
    <s v="sem"/>
    <s v="sem"/>
    <m/>
    <m/>
    <n v="17828"/>
    <n v="17963"/>
    <n v="4339"/>
    <n v="4289"/>
    <n v="17658"/>
    <n v="17265"/>
    <n v="39825"/>
    <n v="1327.5"/>
    <n v="39517"/>
    <n v="1317.2333333333333"/>
    <n v="723"/>
    <n v="318"/>
    <n v="39825"/>
    <n v="39517"/>
    <m/>
    <m/>
    <m/>
    <m/>
    <m/>
    <m/>
    <m/>
    <m/>
    <n v="0"/>
    <n v="0"/>
    <n v="0"/>
    <n v="0"/>
    <m/>
    <m/>
    <n v="0"/>
    <n v="0"/>
    <m/>
    <m/>
    <m/>
    <m/>
    <m/>
    <m/>
    <m/>
    <m/>
    <n v="0"/>
    <n v="0"/>
    <n v="0"/>
    <n v="0"/>
    <n v="1327.5"/>
    <n v="1317.2333333333333"/>
  </r>
  <r>
    <x v="9"/>
    <s v="College of the Albemarle"/>
    <m/>
    <n v="197814"/>
    <x v="8"/>
    <s v="sem"/>
    <s v="sem"/>
    <m/>
    <m/>
    <n v="25142"/>
    <n v="25427"/>
    <n v="2369"/>
    <n v="3654"/>
    <n v="26351"/>
    <n v="27340"/>
    <n v="53862"/>
    <n v="1795.4"/>
    <n v="56421"/>
    <n v="1880.7"/>
    <n v="2514"/>
    <n v="3637"/>
    <n v="53862"/>
    <n v="56421"/>
    <m/>
    <m/>
    <m/>
    <m/>
    <m/>
    <m/>
    <m/>
    <m/>
    <n v="0"/>
    <n v="0"/>
    <n v="0"/>
    <n v="0"/>
    <m/>
    <m/>
    <n v="0"/>
    <n v="0"/>
    <m/>
    <m/>
    <m/>
    <m/>
    <m/>
    <m/>
    <m/>
    <m/>
    <n v="0"/>
    <n v="0"/>
    <n v="0"/>
    <n v="0"/>
    <n v="1795.4"/>
    <n v="1880.7"/>
  </r>
  <r>
    <x v="9"/>
    <s v="Halifax Community College "/>
    <m/>
    <n v="198640"/>
    <x v="8"/>
    <s v="sem"/>
    <s v="sem"/>
    <m/>
    <m/>
    <n v="18097"/>
    <n v="17643"/>
    <n v="3347"/>
    <n v="2667"/>
    <n v="18744"/>
    <n v="16975"/>
    <n v="40188"/>
    <n v="1339.6"/>
    <n v="37285"/>
    <n v="1242.8333333333333"/>
    <n v="628"/>
    <n v="864"/>
    <n v="40188"/>
    <n v="37285"/>
    <m/>
    <m/>
    <m/>
    <m/>
    <m/>
    <m/>
    <m/>
    <m/>
    <n v="0"/>
    <n v="0"/>
    <n v="0"/>
    <n v="0"/>
    <m/>
    <m/>
    <n v="0"/>
    <n v="0"/>
    <m/>
    <m/>
    <m/>
    <m/>
    <m/>
    <m/>
    <m/>
    <m/>
    <n v="0"/>
    <n v="0"/>
    <n v="0"/>
    <n v="0"/>
    <n v="1339.6"/>
    <n v="1242.8333333333333"/>
  </r>
  <r>
    <x v="9"/>
    <s v="James Sprunt Community College"/>
    <m/>
    <n v="198729"/>
    <x v="8"/>
    <s v="sem"/>
    <s v="sem"/>
    <m/>
    <m/>
    <n v="15432"/>
    <n v="15512"/>
    <n v="1990"/>
    <n v="1354"/>
    <n v="15432"/>
    <n v="15505"/>
    <n v="32854"/>
    <n v="1095.1333333333334"/>
    <n v="32371"/>
    <n v="1079.0333333333333"/>
    <n v="3342"/>
    <n v="3607"/>
    <n v="32854"/>
    <n v="32371"/>
    <m/>
    <m/>
    <m/>
    <m/>
    <m/>
    <m/>
    <m/>
    <m/>
    <n v="0"/>
    <n v="0"/>
    <n v="0"/>
    <n v="0"/>
    <m/>
    <m/>
    <n v="0"/>
    <n v="0"/>
    <m/>
    <m/>
    <m/>
    <m/>
    <m/>
    <m/>
    <m/>
    <m/>
    <n v="0"/>
    <n v="0"/>
    <n v="0"/>
    <n v="0"/>
    <n v="1095.1333333333334"/>
    <n v="1079.0333333333333"/>
  </r>
  <r>
    <x v="9"/>
    <s v="Martin Community College "/>
    <m/>
    <n v="198905"/>
    <x v="8"/>
    <s v="sem"/>
    <s v="sem"/>
    <m/>
    <m/>
    <n v="7474"/>
    <n v="8277"/>
    <n v="557"/>
    <n v="487"/>
    <n v="8237"/>
    <n v="8321"/>
    <n v="16268"/>
    <n v="542.26666666666665"/>
    <n v="17085"/>
    <n v="569.5"/>
    <n v="512"/>
    <n v="667"/>
    <n v="16268"/>
    <n v="17085"/>
    <m/>
    <m/>
    <m/>
    <m/>
    <m/>
    <m/>
    <m/>
    <m/>
    <n v="0"/>
    <n v="0"/>
    <n v="0"/>
    <n v="0"/>
    <m/>
    <m/>
    <n v="0"/>
    <n v="0"/>
    <m/>
    <m/>
    <m/>
    <m/>
    <m/>
    <m/>
    <m/>
    <m/>
    <n v="0"/>
    <n v="0"/>
    <n v="0"/>
    <n v="0"/>
    <n v="542.26666666666665"/>
    <n v="569.5"/>
  </r>
  <r>
    <x v="9"/>
    <s v="Mayland Community College"/>
    <m/>
    <n v="198914"/>
    <x v="8"/>
    <s v="sem"/>
    <s v="sem"/>
    <m/>
    <m/>
    <n v="14330"/>
    <n v="10602"/>
    <n v="2475"/>
    <n v="739"/>
    <n v="12030"/>
    <n v="10627"/>
    <n v="28835"/>
    <n v="961.16666666666663"/>
    <n v="21968"/>
    <n v="732.26666666666665"/>
    <n v="5376"/>
    <n v="4794"/>
    <n v="28835"/>
    <n v="21968"/>
    <m/>
    <m/>
    <m/>
    <m/>
    <m/>
    <m/>
    <m/>
    <m/>
    <n v="0"/>
    <n v="0"/>
    <n v="0"/>
    <n v="0"/>
    <m/>
    <m/>
    <n v="0"/>
    <n v="0"/>
    <m/>
    <m/>
    <m/>
    <m/>
    <m/>
    <m/>
    <m/>
    <m/>
    <n v="0"/>
    <n v="0"/>
    <n v="0"/>
    <n v="0"/>
    <n v="961.16666666666663"/>
    <n v="732.26666666666665"/>
  </r>
  <r>
    <x v="9"/>
    <s v="McDowell Technical Community College"/>
    <m/>
    <n v="198923"/>
    <x v="8"/>
    <s v="sem"/>
    <s v="sem"/>
    <m/>
    <m/>
    <n v="14995"/>
    <n v="13314"/>
    <n v="6649"/>
    <n v="5164"/>
    <n v="15283"/>
    <n v="12402"/>
    <n v="36927"/>
    <n v="1230.9000000000001"/>
    <n v="30880"/>
    <n v="1029.3333333333333"/>
    <n v="3229"/>
    <n v="2538"/>
    <n v="36927"/>
    <n v="30880"/>
    <m/>
    <m/>
    <m/>
    <m/>
    <m/>
    <m/>
    <m/>
    <m/>
    <n v="0"/>
    <n v="0"/>
    <n v="0"/>
    <n v="0"/>
    <m/>
    <m/>
    <n v="0"/>
    <n v="0"/>
    <m/>
    <m/>
    <m/>
    <m/>
    <m/>
    <m/>
    <m/>
    <m/>
    <n v="0"/>
    <n v="0"/>
    <n v="0"/>
    <n v="0"/>
    <n v="1230.9000000000001"/>
    <n v="1029.3333333333333"/>
  </r>
  <r>
    <x v="9"/>
    <s v="Montgomery Community College"/>
    <m/>
    <n v="199023"/>
    <x v="8"/>
    <s v="sem"/>
    <s v="sem"/>
    <m/>
    <m/>
    <n v="9177"/>
    <n v="8089"/>
    <n v="2140"/>
    <n v="2545"/>
    <n v="8478"/>
    <n v="7871"/>
    <n v="19795"/>
    <n v="659.83333333333337"/>
    <n v="18505"/>
    <n v="616.83333333333337"/>
    <n v="1028"/>
    <n v="629"/>
    <n v="19795"/>
    <n v="18505"/>
    <m/>
    <m/>
    <m/>
    <m/>
    <m/>
    <m/>
    <m/>
    <m/>
    <n v="0"/>
    <n v="0"/>
    <n v="0"/>
    <n v="0"/>
    <m/>
    <m/>
    <n v="0"/>
    <n v="0"/>
    <m/>
    <m/>
    <m/>
    <m/>
    <m/>
    <m/>
    <m/>
    <m/>
    <n v="0"/>
    <n v="0"/>
    <n v="0"/>
    <n v="0"/>
    <n v="659.83333333333337"/>
    <n v="616.83333333333337"/>
  </r>
  <r>
    <x v="9"/>
    <s v="Pamlico Community College"/>
    <m/>
    <n v="199263"/>
    <x v="8"/>
    <s v="sem"/>
    <s v="sem"/>
    <m/>
    <m/>
    <n v="5934"/>
    <n v="6022"/>
    <n v="920"/>
    <n v="841"/>
    <n v="5849"/>
    <n v="4360"/>
    <n v="12703"/>
    <n v="423.43333333333334"/>
    <n v="11223"/>
    <n v="374.1"/>
    <n v="1938"/>
    <n v="2068"/>
    <n v="12703"/>
    <n v="11223"/>
    <m/>
    <m/>
    <m/>
    <m/>
    <m/>
    <m/>
    <m/>
    <m/>
    <n v="0"/>
    <n v="0"/>
    <n v="0"/>
    <n v="0"/>
    <m/>
    <m/>
    <n v="0"/>
    <n v="0"/>
    <m/>
    <m/>
    <m/>
    <m/>
    <m/>
    <m/>
    <m/>
    <m/>
    <n v="0"/>
    <n v="0"/>
    <n v="0"/>
    <n v="0"/>
    <n v="423.43333333333334"/>
    <n v="374.1"/>
  </r>
  <r>
    <x v="9"/>
    <s v="Piedmont Community College"/>
    <m/>
    <n v="199324"/>
    <x v="8"/>
    <s v="sem"/>
    <s v="sem"/>
    <m/>
    <m/>
    <n v="25865"/>
    <n v="23378"/>
    <n v="3964"/>
    <n v="1627"/>
    <n v="25693"/>
    <n v="20981"/>
    <n v="55522"/>
    <n v="1850.7333333333333"/>
    <n v="45986"/>
    <n v="1532.8666666666666"/>
    <n v="7831"/>
    <n v="6625"/>
    <n v="55522"/>
    <n v="45986"/>
    <m/>
    <m/>
    <m/>
    <m/>
    <m/>
    <m/>
    <m/>
    <m/>
    <n v="0"/>
    <n v="0"/>
    <n v="0"/>
    <n v="0"/>
    <m/>
    <m/>
    <n v="0"/>
    <n v="0"/>
    <m/>
    <m/>
    <m/>
    <m/>
    <m/>
    <m/>
    <m/>
    <m/>
    <n v="0"/>
    <n v="0"/>
    <n v="0"/>
    <n v="0"/>
    <n v="1850.7333333333333"/>
    <n v="1532.8666666666666"/>
  </r>
  <r>
    <x v="9"/>
    <s v="Richmond Community College"/>
    <m/>
    <n v="199449"/>
    <x v="8"/>
    <s v="sem"/>
    <s v="sem"/>
    <m/>
    <m/>
    <n v="16712"/>
    <n v="20054"/>
    <n v="3670"/>
    <n v="5547"/>
    <n v="19661"/>
    <n v="25683"/>
    <n v="40043"/>
    <n v="1334.7666666666667"/>
    <n v="51284"/>
    <n v="1709.4666666666667"/>
    <n v="3054"/>
    <n v="4749"/>
    <n v="40043"/>
    <n v="51284"/>
    <m/>
    <m/>
    <m/>
    <m/>
    <m/>
    <m/>
    <m/>
    <m/>
    <n v="0"/>
    <n v="0"/>
    <n v="0"/>
    <n v="0"/>
    <m/>
    <m/>
    <n v="0"/>
    <n v="0"/>
    <m/>
    <m/>
    <m/>
    <m/>
    <m/>
    <m/>
    <m/>
    <m/>
    <n v="0"/>
    <n v="0"/>
    <n v="0"/>
    <n v="0"/>
    <n v="1334.7666666666667"/>
    <n v="1709.4666666666667"/>
  </r>
  <r>
    <x v="9"/>
    <s v="Roanoke-Chowan Community College"/>
    <m/>
    <n v="199467"/>
    <x v="8"/>
    <s v="sem"/>
    <s v="sem"/>
    <m/>
    <m/>
    <n v="8684"/>
    <n v="9253"/>
    <n v="168"/>
    <n v="12"/>
    <n v="9026"/>
    <n v="9465"/>
    <n v="17878"/>
    <n v="595.93333333333328"/>
    <n v="18730"/>
    <n v="624.33333333333337"/>
    <n v="1481"/>
    <n v="1996"/>
    <n v="17878"/>
    <n v="18730"/>
    <m/>
    <m/>
    <m/>
    <m/>
    <m/>
    <m/>
    <m/>
    <m/>
    <n v="0"/>
    <n v="0"/>
    <n v="0"/>
    <n v="0"/>
    <m/>
    <m/>
    <n v="0"/>
    <n v="0"/>
    <m/>
    <m/>
    <m/>
    <m/>
    <m/>
    <m/>
    <m/>
    <m/>
    <n v="0"/>
    <n v="0"/>
    <n v="0"/>
    <n v="0"/>
    <n v="595.93333333333328"/>
    <n v="624.33333333333337"/>
  </r>
  <r>
    <x v="9"/>
    <s v="Rockingham Community College "/>
    <m/>
    <n v="199485"/>
    <x v="8"/>
    <s v="sem"/>
    <s v="sem"/>
    <m/>
    <m/>
    <n v="23243"/>
    <n v="23120"/>
    <n v="5276"/>
    <n v="5094"/>
    <n v="24888"/>
    <n v="22961"/>
    <n v="53407"/>
    <n v="1780.2333333333333"/>
    <n v="51175"/>
    <n v="1705.8333333333333"/>
    <n v="1546"/>
    <n v="2020"/>
    <n v="53407"/>
    <n v="51175"/>
    <m/>
    <m/>
    <m/>
    <m/>
    <m/>
    <m/>
    <m/>
    <m/>
    <n v="0"/>
    <n v="0"/>
    <n v="0"/>
    <n v="0"/>
    <m/>
    <m/>
    <n v="0"/>
    <n v="0"/>
    <m/>
    <m/>
    <m/>
    <m/>
    <m/>
    <m/>
    <m/>
    <m/>
    <n v="0"/>
    <n v="0"/>
    <n v="0"/>
    <n v="0"/>
    <n v="1780.2333333333333"/>
    <n v="1705.8333333333333"/>
  </r>
  <r>
    <x v="9"/>
    <s v="Sampson Community College"/>
    <m/>
    <n v="199625"/>
    <x v="8"/>
    <s v="sem"/>
    <s v="sem"/>
    <m/>
    <m/>
    <n v="15956"/>
    <n v="15383"/>
    <n v="1366"/>
    <n v="921"/>
    <n v="16239"/>
    <n v="15842"/>
    <n v="33561"/>
    <n v="1118.7"/>
    <n v="32146"/>
    <n v="1071.5333333333333"/>
    <n v="3862"/>
    <n v="3463"/>
    <n v="33561"/>
    <n v="32146"/>
    <m/>
    <m/>
    <m/>
    <m/>
    <m/>
    <m/>
    <m/>
    <m/>
    <n v="0"/>
    <n v="0"/>
    <n v="0"/>
    <n v="0"/>
    <m/>
    <m/>
    <n v="0"/>
    <n v="0"/>
    <m/>
    <m/>
    <m/>
    <m/>
    <m/>
    <m/>
    <m/>
    <m/>
    <n v="0"/>
    <n v="0"/>
    <n v="0"/>
    <n v="0"/>
    <n v="1118.7"/>
    <n v="1071.5333333333333"/>
  </r>
  <r>
    <x v="9"/>
    <s v="South Piedmont Community College"/>
    <m/>
    <n v="197850"/>
    <x v="8"/>
    <s v="sem"/>
    <s v="sem"/>
    <m/>
    <m/>
    <n v="24291"/>
    <n v="22358"/>
    <n v="4058"/>
    <n v="3778"/>
    <n v="24924"/>
    <n v="22836"/>
    <n v="53273"/>
    <n v="1775.7666666666667"/>
    <n v="48972"/>
    <n v="1632.4"/>
    <n v="6205"/>
    <n v="6184"/>
    <n v="53273"/>
    <n v="48972"/>
    <m/>
    <m/>
    <m/>
    <m/>
    <m/>
    <m/>
    <m/>
    <m/>
    <n v="0"/>
    <n v="0"/>
    <n v="0"/>
    <n v="0"/>
    <m/>
    <m/>
    <n v="0"/>
    <n v="0"/>
    <m/>
    <m/>
    <m/>
    <m/>
    <m/>
    <m/>
    <m/>
    <m/>
    <n v="0"/>
    <n v="0"/>
    <n v="0"/>
    <n v="0"/>
    <n v="1775.7666666666667"/>
    <n v="1632.4"/>
  </r>
  <r>
    <x v="9"/>
    <s v="Southeastern Community College "/>
    <m/>
    <n v="199722"/>
    <x v="8"/>
    <s v="sem"/>
    <s v="sem"/>
    <m/>
    <m/>
    <n v="20834"/>
    <n v="20344"/>
    <n v="7242"/>
    <n v="6167"/>
    <n v="21432"/>
    <n v="19910"/>
    <n v="49508"/>
    <n v="1650.2666666666667"/>
    <n v="46421"/>
    <n v="1547.3666666666666"/>
    <n v="3653"/>
    <n v="3155"/>
    <n v="49508"/>
    <n v="46421"/>
    <m/>
    <m/>
    <m/>
    <m/>
    <m/>
    <m/>
    <m/>
    <m/>
    <n v="0"/>
    <n v="0"/>
    <n v="0"/>
    <n v="0"/>
    <m/>
    <m/>
    <n v="0"/>
    <n v="0"/>
    <m/>
    <m/>
    <m/>
    <m/>
    <m/>
    <m/>
    <m/>
    <m/>
    <n v="0"/>
    <n v="0"/>
    <n v="0"/>
    <n v="0"/>
    <n v="1650.2666666666667"/>
    <n v="1547.3666666666666"/>
  </r>
  <r>
    <x v="9"/>
    <s v="Southwestern Community College "/>
    <m/>
    <n v="199731"/>
    <x v="8"/>
    <s v="sem"/>
    <s v="sem"/>
    <m/>
    <m/>
    <n v="23336"/>
    <n v="23284"/>
    <n v="6768"/>
    <n v="6230"/>
    <n v="25165"/>
    <n v="24518"/>
    <n v="55269"/>
    <n v="1842.3"/>
    <n v="54032"/>
    <n v="1801.0666666666666"/>
    <n v="6507"/>
    <n v="6519"/>
    <n v="55269"/>
    <n v="54032"/>
    <m/>
    <m/>
    <m/>
    <m/>
    <m/>
    <m/>
    <m/>
    <m/>
    <n v="0"/>
    <n v="0"/>
    <n v="0"/>
    <n v="0"/>
    <m/>
    <m/>
    <n v="0"/>
    <n v="0"/>
    <m/>
    <m/>
    <m/>
    <m/>
    <m/>
    <m/>
    <m/>
    <m/>
    <n v="0"/>
    <n v="0"/>
    <n v="0"/>
    <n v="0"/>
    <n v="1842.3"/>
    <n v="1801.0666666666666"/>
  </r>
  <r>
    <x v="9"/>
    <s v="Tri-County Community College "/>
    <m/>
    <n v="199795"/>
    <x v="8"/>
    <s v="sem"/>
    <s v="sem"/>
    <m/>
    <m/>
    <n v="13265"/>
    <n v="13228"/>
    <n v="2847"/>
    <n v="2482"/>
    <n v="13747"/>
    <n v="14264"/>
    <n v="29859"/>
    <n v="995.3"/>
    <n v="29974"/>
    <n v="999.13333333333333"/>
    <n v="4641"/>
    <n v="4175"/>
    <n v="29859"/>
    <n v="29974"/>
    <m/>
    <m/>
    <m/>
    <m/>
    <m/>
    <m/>
    <m/>
    <m/>
    <n v="0"/>
    <n v="0"/>
    <n v="0"/>
    <n v="0"/>
    <m/>
    <m/>
    <n v="0"/>
    <n v="0"/>
    <m/>
    <m/>
    <m/>
    <m/>
    <m/>
    <m/>
    <m/>
    <m/>
    <n v="0"/>
    <n v="0"/>
    <n v="0"/>
    <n v="0"/>
    <n v="995.3"/>
    <n v="999.13333333333333"/>
  </r>
  <r>
    <x v="9"/>
    <s v="Wilson Community College"/>
    <m/>
    <n v="199953"/>
    <x v="8"/>
    <s v="sem"/>
    <s v="sem"/>
    <m/>
    <m/>
    <n v="20528"/>
    <n v="20169"/>
    <n v="10769"/>
    <n v="9033"/>
    <n v="20687"/>
    <n v="18219"/>
    <n v="51984"/>
    <n v="1732.8"/>
    <n v="47421"/>
    <n v="1580.7"/>
    <n v="1143"/>
    <n v="1692"/>
    <n v="51984"/>
    <n v="47421"/>
    <m/>
    <m/>
    <m/>
    <m/>
    <m/>
    <m/>
    <m/>
    <m/>
    <n v="0"/>
    <n v="0"/>
    <n v="0"/>
    <n v="0"/>
    <m/>
    <m/>
    <n v="0"/>
    <n v="0"/>
    <m/>
    <m/>
    <m/>
    <m/>
    <m/>
    <m/>
    <m/>
    <m/>
    <n v="0"/>
    <n v="0"/>
    <n v="0"/>
    <n v="0"/>
    <n v="1732.8"/>
    <n v="1580.7"/>
  </r>
  <r>
    <x v="10"/>
    <s v="Oklahoma State University Main Campus"/>
    <m/>
    <n v="207388"/>
    <x v="0"/>
    <s v="sem"/>
    <s v="sem"/>
    <m/>
    <m/>
    <n v="222595"/>
    <n v="243811"/>
    <n v="29689"/>
    <n v="32147"/>
    <n v="293080"/>
    <n v="268237"/>
    <n v="545364"/>
    <n v="18178.8"/>
    <n v="544195"/>
    <n v="18139.833333333332"/>
    <n v="693"/>
    <n v="1384"/>
    <n v="545364"/>
    <n v="544195"/>
    <m/>
    <m/>
    <m/>
    <m/>
    <m/>
    <m/>
    <m/>
    <m/>
    <n v="0"/>
    <n v="0"/>
    <n v="0"/>
    <n v="0"/>
    <m/>
    <m/>
    <n v="0"/>
    <n v="0"/>
    <m/>
    <m/>
    <n v="30293"/>
    <n v="46816"/>
    <n v="10747"/>
    <n v="23316"/>
    <n v="34141"/>
    <n v="46543"/>
    <n v="75181"/>
    <n v="3132.5416666666665"/>
    <n v="116675"/>
    <n v="4861.458333333333"/>
    <n v="21311.341666666667"/>
    <n v="23001.291666666664"/>
  </r>
  <r>
    <x v="10"/>
    <s v="University of Oklahoma Norman Campus"/>
    <m/>
    <n v="207500"/>
    <x v="0"/>
    <s v="sem"/>
    <s v="sem"/>
    <m/>
    <m/>
    <n v="239876"/>
    <n v="242922"/>
    <n v="27517"/>
    <n v="34284"/>
    <n v="259990"/>
    <n v="269398"/>
    <n v="527383"/>
    <n v="17579.433333333334"/>
    <n v="546604"/>
    <n v="18220.133333333335"/>
    <n v="297"/>
    <n v="578"/>
    <n v="527383"/>
    <n v="546604"/>
    <m/>
    <m/>
    <m/>
    <m/>
    <m/>
    <m/>
    <m/>
    <m/>
    <n v="0"/>
    <n v="0"/>
    <n v="0"/>
    <n v="0"/>
    <m/>
    <m/>
    <n v="0"/>
    <n v="0"/>
    <m/>
    <m/>
    <n v="38955"/>
    <n v="53722"/>
    <n v="12833"/>
    <n v="17476"/>
    <n v="40617"/>
    <n v="52520"/>
    <n v="92405"/>
    <n v="3850.2083333333335"/>
    <n v="123718"/>
    <n v="5154.916666666667"/>
    <n v="21429.641666666666"/>
    <n v="23375.050000000003"/>
  </r>
  <r>
    <x v="10"/>
    <s v="Northeastern State University"/>
    <m/>
    <n v="207263"/>
    <x v="2"/>
    <s v="sem"/>
    <s v="sem"/>
    <m/>
    <m/>
    <n v="91975"/>
    <n v="94451"/>
    <n v="19638"/>
    <n v="19543"/>
    <n v="97826"/>
    <n v="97194"/>
    <n v="209439"/>
    <n v="6981.3"/>
    <n v="211188"/>
    <n v="7039.6"/>
    <n v="558"/>
    <n v="1257"/>
    <n v="209439"/>
    <n v="211188"/>
    <m/>
    <m/>
    <m/>
    <m/>
    <m/>
    <m/>
    <m/>
    <m/>
    <n v="0"/>
    <n v="0"/>
    <n v="0"/>
    <n v="0"/>
    <m/>
    <m/>
    <n v="0"/>
    <n v="0"/>
    <m/>
    <m/>
    <n v="8309"/>
    <n v="8145"/>
    <n v="3639"/>
    <n v="3699"/>
    <n v="8532"/>
    <n v="8755"/>
    <n v="20480"/>
    <n v="853.33333333333337"/>
    <n v="20599"/>
    <n v="858.29166666666663"/>
    <n v="7834.6333333333332"/>
    <n v="7897.8916666666673"/>
  </r>
  <r>
    <x v="10"/>
    <s v="University of Central Oklahoma"/>
    <m/>
    <n v="206941"/>
    <x v="2"/>
    <s v="sem"/>
    <s v="sem"/>
    <m/>
    <m/>
    <n v="156734"/>
    <n v="163355"/>
    <n v="26986"/>
    <n v="28818"/>
    <n v="177435"/>
    <n v="181141"/>
    <n v="361155"/>
    <n v="12038.5"/>
    <n v="373314"/>
    <n v="12443.8"/>
    <n v="925"/>
    <n v="1280"/>
    <n v="361155"/>
    <n v="373314"/>
    <m/>
    <m/>
    <m/>
    <m/>
    <m/>
    <m/>
    <m/>
    <m/>
    <n v="0"/>
    <n v="0"/>
    <n v="0"/>
    <n v="0"/>
    <m/>
    <m/>
    <n v="0"/>
    <n v="0"/>
    <m/>
    <m/>
    <n v="11285"/>
    <n v="11856"/>
    <n v="4443"/>
    <n v="4480"/>
    <n v="11842"/>
    <n v="11896"/>
    <n v="27570"/>
    <n v="1148.75"/>
    <n v="28232"/>
    <n v="1176.3333333333333"/>
    <n v="13187.25"/>
    <n v="13620.133333333333"/>
  </r>
  <r>
    <x v="10"/>
    <s v="Cameron University "/>
    <m/>
    <n v="206914"/>
    <x v="4"/>
    <s v="sem"/>
    <s v="sem"/>
    <m/>
    <m/>
    <n v="60070"/>
    <n v="60437"/>
    <n v="13577"/>
    <n v="13235"/>
    <n v="65020"/>
    <n v="65372"/>
    <n v="138667"/>
    <n v="4622.2333333333336"/>
    <n v="139044"/>
    <n v="4634.8"/>
    <n v="712"/>
    <n v="2388"/>
    <n v="138667"/>
    <n v="139044"/>
    <m/>
    <m/>
    <m/>
    <m/>
    <m/>
    <m/>
    <m/>
    <m/>
    <n v="0"/>
    <n v="0"/>
    <n v="0"/>
    <n v="0"/>
    <m/>
    <m/>
    <n v="0"/>
    <n v="0"/>
    <m/>
    <m/>
    <n v="2955"/>
    <n v="2960"/>
    <n v="1025"/>
    <n v="1065"/>
    <n v="2940"/>
    <n v="3424"/>
    <n v="6920"/>
    <n v="288.33333333333331"/>
    <n v="7449"/>
    <n v="310.375"/>
    <n v="4910.5666666666666"/>
    <n v="4945.1750000000002"/>
  </r>
  <r>
    <x v="10"/>
    <s v="East Central University "/>
    <m/>
    <n v="207041"/>
    <x v="4"/>
    <s v="sem"/>
    <s v="sem"/>
    <m/>
    <m/>
    <n v="45657"/>
    <n v="47494"/>
    <n v="9704"/>
    <n v="9511"/>
    <n v="50905"/>
    <n v="49659"/>
    <n v="106266"/>
    <n v="3542.2"/>
    <n v="106664"/>
    <n v="3555.4666666666667"/>
    <n v="502"/>
    <n v="924"/>
    <n v="106266"/>
    <n v="106664"/>
    <m/>
    <m/>
    <m/>
    <m/>
    <m/>
    <m/>
    <m/>
    <m/>
    <n v="0"/>
    <n v="0"/>
    <n v="0"/>
    <n v="0"/>
    <m/>
    <m/>
    <n v="0"/>
    <n v="0"/>
    <m/>
    <m/>
    <n v="5575"/>
    <n v="5983"/>
    <n v="4481"/>
    <n v="3886"/>
    <n v="5793"/>
    <n v="5887"/>
    <n v="15849"/>
    <n v="660.375"/>
    <n v="15756"/>
    <n v="656.5"/>
    <n v="4202.5749999999998"/>
    <n v="4211.9666666666672"/>
  </r>
  <r>
    <x v="10"/>
    <s v="Langston University"/>
    <m/>
    <n v="207209"/>
    <x v="4"/>
    <s v="sem"/>
    <s v="sem"/>
    <m/>
    <m/>
    <n v="27921"/>
    <n v="27007"/>
    <n v="4684"/>
    <n v="4709"/>
    <n v="29520"/>
    <n v="30254"/>
    <n v="62125"/>
    <n v="2070.8333333333335"/>
    <n v="61970"/>
    <n v="2065.6666666666665"/>
    <n v="3"/>
    <n v="23"/>
    <n v="62125"/>
    <n v="61970"/>
    <m/>
    <m/>
    <m/>
    <m/>
    <m/>
    <m/>
    <m/>
    <m/>
    <n v="0"/>
    <n v="0"/>
    <n v="0"/>
    <n v="0"/>
    <m/>
    <m/>
    <n v="0"/>
    <n v="0"/>
    <m/>
    <m/>
    <n v="3157"/>
    <n v="3946"/>
    <n v="1807"/>
    <n v="1925"/>
    <n v="3668"/>
    <n v="4124"/>
    <n v="8632"/>
    <n v="359.66666666666669"/>
    <n v="9995"/>
    <n v="416.45833333333331"/>
    <n v="2430.5"/>
    <n v="2482.125"/>
  </r>
  <r>
    <x v="10"/>
    <s v="Northwestern Oklahoma State University "/>
    <m/>
    <n v="207306"/>
    <x v="4"/>
    <s v="sem"/>
    <s v="sem"/>
    <m/>
    <m/>
    <n v="24024"/>
    <n v="25289"/>
    <n v="4034"/>
    <n v="3916"/>
    <n v="25462"/>
    <n v="27352"/>
    <n v="53520"/>
    <n v="1784"/>
    <n v="56557"/>
    <n v="1885.2333333333333"/>
    <n v="272"/>
    <n v="300"/>
    <n v="53520"/>
    <n v="56557"/>
    <m/>
    <m/>
    <m/>
    <m/>
    <m/>
    <m/>
    <m/>
    <m/>
    <n v="0"/>
    <n v="0"/>
    <n v="0"/>
    <n v="0"/>
    <m/>
    <m/>
    <n v="0"/>
    <n v="0"/>
    <m/>
    <m/>
    <n v="1081"/>
    <n v="965"/>
    <n v="770"/>
    <n v="566"/>
    <n v="797"/>
    <n v="911"/>
    <n v="2648"/>
    <n v="110.33333333333333"/>
    <n v="2442"/>
    <n v="101.75"/>
    <n v="1894.3333333333333"/>
    <n v="1986.9833333333333"/>
  </r>
  <r>
    <x v="10"/>
    <s v="Southeastern Oklahoma State University "/>
    <s v="Met the criteria for Four-Year 4 in 2010-11 and 2011-12."/>
    <n v="207847"/>
    <x v="4"/>
    <s v="sem"/>
    <s v="sem"/>
    <m/>
    <m/>
    <n v="43335"/>
    <n v="41875"/>
    <n v="9625"/>
    <n v="9763"/>
    <n v="46768"/>
    <n v="46242"/>
    <n v="99728"/>
    <n v="3324.2666666666669"/>
    <n v="97880"/>
    <n v="3262.6666666666665"/>
    <n v="673"/>
    <n v="1492"/>
    <n v="99728"/>
    <n v="97880"/>
    <m/>
    <m/>
    <m/>
    <m/>
    <m/>
    <m/>
    <m/>
    <m/>
    <n v="0"/>
    <n v="0"/>
    <n v="0"/>
    <n v="0"/>
    <m/>
    <m/>
    <n v="0"/>
    <n v="0"/>
    <m/>
    <m/>
    <n v="2336"/>
    <n v="2540"/>
    <n v="1136"/>
    <n v="1179"/>
    <n v="2369"/>
    <n v="2460"/>
    <n v="5841"/>
    <n v="243.375"/>
    <n v="6179"/>
    <n v="257.45833333333331"/>
    <n v="3567.6416666666669"/>
    <n v="3520.125"/>
  </r>
  <r>
    <x v="10"/>
    <s v="Southwestern Oklahoma State University"/>
    <m/>
    <n v="207865"/>
    <x v="4"/>
    <s v="sem"/>
    <s v="sem"/>
    <m/>
    <m/>
    <n v="54770"/>
    <n v="54953"/>
    <n v="9286"/>
    <n v="9752"/>
    <n v="60246"/>
    <n v="60072"/>
    <n v="124302"/>
    <n v="4143.3999999999996"/>
    <n v="124777"/>
    <n v="4159.2333333333336"/>
    <n v="669"/>
    <n v="1578"/>
    <n v="124302"/>
    <n v="124777"/>
    <m/>
    <m/>
    <m/>
    <m/>
    <m/>
    <m/>
    <m/>
    <m/>
    <n v="0"/>
    <n v="0"/>
    <n v="0"/>
    <n v="0"/>
    <m/>
    <m/>
    <n v="0"/>
    <n v="0"/>
    <m/>
    <m/>
    <n v="5666"/>
    <n v="5593"/>
    <n v="2782"/>
    <n v="3039"/>
    <n v="5329"/>
    <n v="5546"/>
    <n v="13777"/>
    <n v="574.04166666666663"/>
    <n v="14178"/>
    <n v="590.75"/>
    <n v="4717.4416666666666"/>
    <n v="4749.9833333333336"/>
  </r>
  <r>
    <x v="10"/>
    <s v="Oklahoma Panhandle State University "/>
    <m/>
    <n v="207351"/>
    <x v="5"/>
    <s v="sem"/>
    <s v="sem"/>
    <m/>
    <m/>
    <n v="16704"/>
    <n v="16985"/>
    <n v="1945"/>
    <n v="0"/>
    <n v="18763"/>
    <n v="19682"/>
    <n v="37412"/>
    <n v="1247.0666666666666"/>
    <n v="36667"/>
    <n v="1222.2333333333333"/>
    <n v="174"/>
    <n v="531"/>
    <n v="37412"/>
    <n v="36667"/>
    <m/>
    <m/>
    <m/>
    <m/>
    <m/>
    <m/>
    <m/>
    <m/>
    <n v="0"/>
    <n v="0"/>
    <n v="0"/>
    <n v="0"/>
    <m/>
    <m/>
    <n v="0"/>
    <n v="0"/>
    <m/>
    <m/>
    <m/>
    <m/>
    <m/>
    <m/>
    <m/>
    <m/>
    <n v="0"/>
    <n v="0"/>
    <n v="0"/>
    <n v="0"/>
    <n v="1247.0666666666666"/>
    <n v="1222.2333333333333"/>
  </r>
  <r>
    <x v="10"/>
    <s v="Rogers State University"/>
    <m/>
    <n v="207661"/>
    <x v="5"/>
    <s v="sem"/>
    <s v="sem"/>
    <m/>
    <m/>
    <n v="44724"/>
    <n v="45542"/>
    <n v="7570"/>
    <n v="7889"/>
    <n v="48041"/>
    <n v="51415"/>
    <n v="100335"/>
    <n v="3344.5"/>
    <n v="104846"/>
    <n v="3494.8666666666668"/>
    <n v="1879"/>
    <n v="4439"/>
    <n v="100335"/>
    <n v="104846"/>
    <m/>
    <m/>
    <m/>
    <m/>
    <m/>
    <m/>
    <m/>
    <m/>
    <n v="0"/>
    <n v="0"/>
    <n v="0"/>
    <n v="0"/>
    <m/>
    <m/>
    <n v="0"/>
    <n v="0"/>
    <m/>
    <m/>
    <m/>
    <m/>
    <m/>
    <m/>
    <m/>
    <m/>
    <n v="0"/>
    <n v="0"/>
    <n v="0"/>
    <n v="0"/>
    <n v="3344.5"/>
    <n v="3494.8666666666668"/>
  </r>
  <r>
    <x v="10"/>
    <s v="University of Science and Arts of Oklahoma"/>
    <m/>
    <n v="207722"/>
    <x v="5"/>
    <s v="sem"/>
    <s v="sem"/>
    <m/>
    <m/>
    <n v="12817"/>
    <n v="12170"/>
    <n v="4812"/>
    <n v="5124"/>
    <n v="13569"/>
    <n v="13516"/>
    <n v="31198"/>
    <n v="1039.9333333333334"/>
    <n v="30810"/>
    <n v="1027"/>
    <n v="10"/>
    <n v="107"/>
    <n v="31198"/>
    <n v="30810"/>
    <m/>
    <m/>
    <m/>
    <m/>
    <m/>
    <m/>
    <m/>
    <m/>
    <n v="0"/>
    <n v="0"/>
    <n v="0"/>
    <n v="0"/>
    <m/>
    <m/>
    <n v="0"/>
    <n v="0"/>
    <m/>
    <m/>
    <m/>
    <m/>
    <m/>
    <m/>
    <m/>
    <m/>
    <n v="0"/>
    <n v="0"/>
    <n v="0"/>
    <n v="0"/>
    <n v="1039.9333333333334"/>
    <n v="1027"/>
  </r>
  <r>
    <x v="10"/>
    <s v="Oklahoma State University Technical Branch-Okmulgee "/>
    <m/>
    <n v="207564"/>
    <x v="11"/>
    <s v="sem"/>
    <s v="sem"/>
    <m/>
    <m/>
    <n v="35917"/>
    <n v="33722"/>
    <n v="21976"/>
    <n v="23376"/>
    <n v="38889"/>
    <n v="38717"/>
    <n v="96782"/>
    <n v="3226.0666666666666"/>
    <n v="95815"/>
    <n v="3193.8333333333335"/>
    <n v="1701"/>
    <n v="6242"/>
    <n v="96782"/>
    <n v="95815"/>
    <m/>
    <m/>
    <m/>
    <m/>
    <m/>
    <m/>
    <m/>
    <m/>
    <n v="0"/>
    <n v="0"/>
    <n v="0"/>
    <n v="0"/>
    <m/>
    <m/>
    <n v="0"/>
    <n v="0"/>
    <m/>
    <m/>
    <m/>
    <m/>
    <m/>
    <m/>
    <m/>
    <m/>
    <n v="0"/>
    <n v="0"/>
    <n v="0"/>
    <n v="0"/>
    <n v="3226.0666666666666"/>
    <n v="3193.8333333333335"/>
  </r>
  <r>
    <x v="10"/>
    <s v="Oklahoma State University-Oklahoma City "/>
    <s v="Reclassified: Met criteria for Two-Year with Bachelor's in 2009-10, 2010-11, and 2011-12."/>
    <n v="207397"/>
    <x v="11"/>
    <s v="sem"/>
    <s v="sem"/>
    <m/>
    <m/>
    <n v="61511"/>
    <n v="72667"/>
    <n v="19731"/>
    <n v="20321"/>
    <n v="78362"/>
    <n v="76269"/>
    <n v="159604"/>
    <n v="5320.1333333333332"/>
    <n v="169257"/>
    <n v="5641.9"/>
    <n v="0"/>
    <n v="1691"/>
    <n v="159604"/>
    <n v="169257"/>
    <m/>
    <m/>
    <m/>
    <m/>
    <m/>
    <m/>
    <m/>
    <m/>
    <n v="0"/>
    <n v="0"/>
    <n v="0"/>
    <n v="0"/>
    <m/>
    <m/>
    <n v="0"/>
    <n v="0"/>
    <m/>
    <m/>
    <m/>
    <m/>
    <m/>
    <m/>
    <m/>
    <n v="54"/>
    <n v="0"/>
    <n v="0"/>
    <n v="54"/>
    <n v="2.25"/>
    <n v="5320.1333333333332"/>
    <n v="5644.15"/>
  </r>
  <r>
    <x v="10"/>
    <s v="Oklahoma City Community College "/>
    <m/>
    <n v="207449"/>
    <x v="6"/>
    <s v="sem"/>
    <s v="sem"/>
    <m/>
    <m/>
    <n v="123287"/>
    <n v="125945"/>
    <n v="32970"/>
    <n v="34792"/>
    <n v="134773"/>
    <n v="133275"/>
    <n v="291030"/>
    <n v="9701"/>
    <n v="294012"/>
    <n v="9800.4"/>
    <n v="3326"/>
    <n v="19475"/>
    <n v="291030"/>
    <n v="294012"/>
    <m/>
    <m/>
    <m/>
    <m/>
    <m/>
    <m/>
    <m/>
    <m/>
    <n v="0"/>
    <n v="0"/>
    <n v="0"/>
    <n v="0"/>
    <m/>
    <m/>
    <n v="0"/>
    <n v="0"/>
    <m/>
    <m/>
    <m/>
    <m/>
    <m/>
    <m/>
    <m/>
    <m/>
    <n v="0"/>
    <n v="0"/>
    <n v="0"/>
    <n v="0"/>
    <n v="9701"/>
    <n v="9800.4"/>
  </r>
  <r>
    <x v="10"/>
    <s v="Rose State College "/>
    <s v="Reclassified: Met the criteria for Two-Year 1 institution in 2009-10, 2010-11, and 2011-12."/>
    <n v="207670"/>
    <x v="6"/>
    <s v="sem"/>
    <s v="sem"/>
    <m/>
    <m/>
    <n v="69647"/>
    <n v="71497"/>
    <n v="18117"/>
    <n v="18714"/>
    <n v="79823"/>
    <n v="71795"/>
    <n v="167587"/>
    <n v="5586.2333333333336"/>
    <n v="162006"/>
    <n v="5400.2"/>
    <n v="2246"/>
    <n v="3652"/>
    <n v="167587"/>
    <n v="162006"/>
    <m/>
    <m/>
    <m/>
    <m/>
    <m/>
    <m/>
    <m/>
    <m/>
    <n v="0"/>
    <n v="0"/>
    <n v="0"/>
    <n v="0"/>
    <m/>
    <m/>
    <n v="0"/>
    <n v="0"/>
    <m/>
    <m/>
    <m/>
    <m/>
    <m/>
    <m/>
    <m/>
    <m/>
    <n v="0"/>
    <n v="0"/>
    <n v="0"/>
    <n v="0"/>
    <n v="5586.2333333333336"/>
    <n v="5400.2"/>
  </r>
  <r>
    <x v="10"/>
    <s v="Tulsa Community College "/>
    <m/>
    <n v="207935"/>
    <x v="6"/>
    <s v="sem"/>
    <s v="sem"/>
    <m/>
    <m/>
    <n v="172249"/>
    <n v="168178"/>
    <n v="51460"/>
    <n v="49710"/>
    <n v="183730"/>
    <n v="179122"/>
    <n v="407439"/>
    <n v="13581.3"/>
    <n v="397010"/>
    <n v="13233.666666666666"/>
    <n v="4817"/>
    <n v="13897"/>
    <n v="407439"/>
    <n v="397010"/>
    <m/>
    <m/>
    <m/>
    <m/>
    <m/>
    <m/>
    <m/>
    <m/>
    <n v="0"/>
    <n v="0"/>
    <n v="0"/>
    <n v="0"/>
    <m/>
    <m/>
    <n v="0"/>
    <n v="0"/>
    <m/>
    <m/>
    <m/>
    <m/>
    <m/>
    <m/>
    <m/>
    <m/>
    <n v="0"/>
    <n v="0"/>
    <n v="0"/>
    <n v="0"/>
    <n v="13581.3"/>
    <n v="13233.666666666666"/>
  </r>
  <r>
    <x v="10"/>
    <s v="Northern Oklahoma College "/>
    <m/>
    <n v="207281"/>
    <x v="7"/>
    <s v="sem"/>
    <s v="sem"/>
    <m/>
    <m/>
    <n v="49803"/>
    <n v="51117"/>
    <n v="8095"/>
    <n v="15509"/>
    <n v="54606"/>
    <n v="53704"/>
    <n v="112504"/>
    <n v="3750.1333333333332"/>
    <n v="120330"/>
    <n v="4011"/>
    <n v="3103"/>
    <n v="6788"/>
    <n v="112504"/>
    <n v="120330"/>
    <m/>
    <m/>
    <m/>
    <m/>
    <m/>
    <m/>
    <m/>
    <m/>
    <n v="0"/>
    <n v="0"/>
    <n v="0"/>
    <n v="0"/>
    <m/>
    <m/>
    <n v="0"/>
    <n v="0"/>
    <m/>
    <m/>
    <m/>
    <m/>
    <m/>
    <m/>
    <m/>
    <m/>
    <n v="0"/>
    <n v="0"/>
    <n v="0"/>
    <n v="0"/>
    <n v="3750.1333333333332"/>
    <n v="4011"/>
  </r>
  <r>
    <x v="10"/>
    <s v="Carl Albert State College"/>
    <s v="Met the criteria for Two-Year 2 institution in 2010-11 and 2011-12."/>
    <n v="206923"/>
    <x v="8"/>
    <s v="sem"/>
    <s v="sem"/>
    <m/>
    <m/>
    <n v="28212"/>
    <n v="28041"/>
    <n v="6312"/>
    <n v="5656"/>
    <n v="30883"/>
    <n v="29644"/>
    <n v="65407"/>
    <n v="2180.2333333333331"/>
    <n v="63341"/>
    <n v="2111.3666666666668"/>
    <n v="916"/>
    <n v="2257"/>
    <n v="65407"/>
    <n v="63341"/>
    <m/>
    <m/>
    <m/>
    <m/>
    <m/>
    <m/>
    <m/>
    <m/>
    <n v="0"/>
    <n v="0"/>
    <n v="0"/>
    <n v="0"/>
    <m/>
    <m/>
    <n v="0"/>
    <n v="0"/>
    <m/>
    <m/>
    <m/>
    <m/>
    <m/>
    <m/>
    <m/>
    <m/>
    <n v="0"/>
    <n v="0"/>
    <n v="0"/>
    <n v="0"/>
    <n v="2180.2333333333331"/>
    <n v="2111.3666666666668"/>
  </r>
  <r>
    <x v="10"/>
    <s v="Connors State College "/>
    <m/>
    <n v="206996"/>
    <x v="8"/>
    <s v="sem"/>
    <s v="sem"/>
    <m/>
    <m/>
    <n v="23601"/>
    <n v="25793"/>
    <n v="5171"/>
    <n v="5076"/>
    <n v="28752"/>
    <n v="26261"/>
    <n v="57524"/>
    <n v="1917.4666666666667"/>
    <n v="57130"/>
    <n v="1904.3333333333333"/>
    <n v="802"/>
    <n v="1770"/>
    <n v="57524"/>
    <n v="57130"/>
    <m/>
    <m/>
    <m/>
    <m/>
    <m/>
    <m/>
    <m/>
    <m/>
    <n v="0"/>
    <n v="0"/>
    <n v="0"/>
    <n v="0"/>
    <m/>
    <m/>
    <n v="0"/>
    <n v="0"/>
    <m/>
    <m/>
    <m/>
    <m/>
    <m/>
    <m/>
    <m/>
    <m/>
    <n v="0"/>
    <n v="0"/>
    <n v="0"/>
    <n v="0"/>
    <n v="1917.4666666666667"/>
    <n v="1904.3333333333333"/>
  </r>
  <r>
    <x v="10"/>
    <s v="Eastern Oklahoma State College "/>
    <m/>
    <n v="207050"/>
    <x v="8"/>
    <s v="sem"/>
    <s v="sem"/>
    <m/>
    <m/>
    <n v="20234"/>
    <n v="20733"/>
    <n v="3751"/>
    <n v="4060"/>
    <n v="22282"/>
    <n v="20564"/>
    <n v="46267"/>
    <n v="1542.2333333333333"/>
    <n v="45357"/>
    <n v="1511.9"/>
    <n v="1188"/>
    <n v="2828"/>
    <n v="46267"/>
    <n v="45357"/>
    <m/>
    <m/>
    <m/>
    <m/>
    <m/>
    <m/>
    <m/>
    <m/>
    <n v="0"/>
    <n v="0"/>
    <n v="0"/>
    <n v="0"/>
    <m/>
    <m/>
    <n v="0"/>
    <n v="0"/>
    <m/>
    <m/>
    <m/>
    <m/>
    <m/>
    <m/>
    <m/>
    <m/>
    <n v="0"/>
    <n v="0"/>
    <n v="0"/>
    <n v="0"/>
    <n v="1542.2333333333333"/>
    <n v="1511.9"/>
  </r>
  <r>
    <x v="10"/>
    <s v="Murray State College "/>
    <m/>
    <n v="207236"/>
    <x v="8"/>
    <s v="sem"/>
    <s v="sem"/>
    <m/>
    <m/>
    <n v="26861"/>
    <n v="27511"/>
    <n v="5346"/>
    <n v="5120"/>
    <n v="28553"/>
    <n v="26573"/>
    <n v="60760"/>
    <n v="2025.3333333333333"/>
    <n v="59204"/>
    <n v="1973.4666666666667"/>
    <n v="2048"/>
    <n v="4433"/>
    <n v="60760"/>
    <n v="59204"/>
    <m/>
    <m/>
    <m/>
    <m/>
    <m/>
    <m/>
    <m/>
    <m/>
    <n v="0"/>
    <n v="0"/>
    <n v="0"/>
    <n v="0"/>
    <m/>
    <m/>
    <n v="0"/>
    <n v="0"/>
    <m/>
    <m/>
    <m/>
    <m/>
    <m/>
    <m/>
    <m/>
    <m/>
    <n v="0"/>
    <n v="0"/>
    <n v="0"/>
    <n v="0"/>
    <n v="2025.3333333333333"/>
    <n v="1973.4666666666667"/>
  </r>
  <r>
    <x v="10"/>
    <s v="Northeastern Oklahoma A &amp; M College "/>
    <s v="Met the criteria for Two-Year 2 institution in 2010-11 and 2011-12."/>
    <n v="207290"/>
    <x v="8"/>
    <s v="sem"/>
    <s v="sem"/>
    <m/>
    <m/>
    <n v="24627"/>
    <n v="26454"/>
    <n v="4658"/>
    <n v="5227"/>
    <n v="29585"/>
    <n v="31953"/>
    <n v="58870"/>
    <n v="1962.3333333333333"/>
    <n v="63634"/>
    <n v="2121.1333333333332"/>
    <n v="797"/>
    <n v="2297"/>
    <n v="58870"/>
    <n v="63634"/>
    <m/>
    <m/>
    <m/>
    <m/>
    <m/>
    <m/>
    <m/>
    <m/>
    <n v="0"/>
    <n v="0"/>
    <n v="0"/>
    <n v="0"/>
    <m/>
    <m/>
    <n v="0"/>
    <n v="0"/>
    <m/>
    <m/>
    <m/>
    <m/>
    <m/>
    <m/>
    <m/>
    <m/>
    <n v="0"/>
    <n v="0"/>
    <n v="0"/>
    <n v="0"/>
    <n v="1962.3333333333333"/>
    <n v="2121.1333333333332"/>
  </r>
  <r>
    <x v="10"/>
    <s v="Redlands Community College"/>
    <m/>
    <n v="207069"/>
    <x v="8"/>
    <s v="sem"/>
    <s v="sem"/>
    <m/>
    <m/>
    <n v="21976"/>
    <n v="22228"/>
    <n v="4499"/>
    <n v="4325"/>
    <n v="23118"/>
    <n v="22478"/>
    <n v="49593"/>
    <n v="1653.1"/>
    <n v="49031"/>
    <n v="1634.3666666666666"/>
    <n v="3081"/>
    <n v="7023"/>
    <n v="49593"/>
    <n v="49031"/>
    <m/>
    <m/>
    <m/>
    <m/>
    <m/>
    <m/>
    <m/>
    <m/>
    <n v="0"/>
    <n v="0"/>
    <n v="0"/>
    <n v="0"/>
    <m/>
    <m/>
    <n v="0"/>
    <n v="0"/>
    <m/>
    <m/>
    <m/>
    <m/>
    <m/>
    <m/>
    <m/>
    <m/>
    <n v="0"/>
    <n v="0"/>
    <n v="0"/>
    <n v="0"/>
    <n v="1653.1"/>
    <n v="1634.3666666666666"/>
  </r>
  <r>
    <x v="10"/>
    <s v="Seminole State College "/>
    <m/>
    <n v="207740"/>
    <x v="8"/>
    <s v="sem"/>
    <s v="sem"/>
    <m/>
    <m/>
    <n v="22123"/>
    <n v="22183"/>
    <n v="3899"/>
    <n v="3947"/>
    <n v="22710"/>
    <n v="23763"/>
    <n v="48732"/>
    <n v="1624.4"/>
    <n v="49893"/>
    <n v="1663.1"/>
    <n v="1115"/>
    <n v="2934"/>
    <n v="48732"/>
    <n v="49893"/>
    <m/>
    <m/>
    <m/>
    <m/>
    <m/>
    <m/>
    <m/>
    <m/>
    <n v="0"/>
    <n v="0"/>
    <n v="0"/>
    <n v="0"/>
    <m/>
    <m/>
    <n v="0"/>
    <n v="0"/>
    <m/>
    <m/>
    <m/>
    <m/>
    <m/>
    <m/>
    <m/>
    <m/>
    <n v="0"/>
    <n v="0"/>
    <n v="0"/>
    <n v="0"/>
    <n v="1624.4"/>
    <n v="1663.1"/>
  </r>
  <r>
    <x v="10"/>
    <s v="Western Oklahoma State College "/>
    <s v="Met the criteria for Two-Year 2 institution in 2011-12."/>
    <n v="208035"/>
    <x v="8"/>
    <s v="sem"/>
    <s v="sem"/>
    <m/>
    <m/>
    <n v="19627"/>
    <n v="21802"/>
    <n v="8711"/>
    <n v="10560"/>
    <n v="30249"/>
    <n v="30686"/>
    <n v="58587"/>
    <n v="1952.9"/>
    <n v="63048"/>
    <n v="2101.6"/>
    <n v="1691"/>
    <n v="4374"/>
    <n v="58587"/>
    <n v="63048"/>
    <m/>
    <m/>
    <m/>
    <m/>
    <m/>
    <m/>
    <m/>
    <m/>
    <n v="0"/>
    <n v="0"/>
    <n v="0"/>
    <n v="0"/>
    <m/>
    <m/>
    <n v="0"/>
    <n v="0"/>
    <m/>
    <m/>
    <m/>
    <m/>
    <m/>
    <m/>
    <m/>
    <m/>
    <n v="0"/>
    <n v="0"/>
    <n v="0"/>
    <n v="0"/>
    <n v="1952.9"/>
    <n v="2101.6"/>
  </r>
  <r>
    <x v="10"/>
    <s v="Canadian Valley Technology Center                 "/>
    <m/>
    <n v="365374"/>
    <x v="9"/>
    <m/>
    <m/>
    <m/>
    <m/>
    <m/>
    <m/>
    <m/>
    <m/>
    <m/>
    <m/>
    <n v="0"/>
    <n v="0"/>
    <n v="0"/>
    <n v="0"/>
    <m/>
    <m/>
    <n v="0"/>
    <n v="0"/>
    <m/>
    <m/>
    <m/>
    <m/>
    <m/>
    <m/>
    <n v="1151539.8999999999"/>
    <n v="1157859.46"/>
    <n v="1151539.8999999999"/>
    <n v="1279.4887777777776"/>
    <n v="1157859.46"/>
    <n v="1286.5105111111111"/>
    <m/>
    <m/>
    <n v="0"/>
    <n v="0"/>
    <m/>
    <m/>
    <m/>
    <m/>
    <m/>
    <m/>
    <m/>
    <m/>
    <n v="0"/>
    <n v="0"/>
    <n v="0"/>
    <n v="0"/>
    <n v="1279.4887777777776"/>
    <n v="1286.5105111111111"/>
  </r>
  <r>
    <x v="10"/>
    <s v="Francis Tuttle Technology Center                  "/>
    <m/>
    <n v="245999"/>
    <x v="9"/>
    <m/>
    <m/>
    <m/>
    <m/>
    <m/>
    <m/>
    <m/>
    <m/>
    <m/>
    <m/>
    <n v="0"/>
    <n v="0"/>
    <n v="0"/>
    <n v="0"/>
    <m/>
    <m/>
    <n v="0"/>
    <n v="0"/>
    <m/>
    <m/>
    <m/>
    <m/>
    <m/>
    <m/>
    <n v="1899880.13"/>
    <n v="1509993.25"/>
    <n v="1899880.13"/>
    <n v="2110.9779222222219"/>
    <n v="1509993.25"/>
    <n v="1677.7702777777777"/>
    <m/>
    <m/>
    <n v="0"/>
    <n v="0"/>
    <m/>
    <m/>
    <m/>
    <m/>
    <m/>
    <m/>
    <m/>
    <m/>
    <n v="0"/>
    <n v="0"/>
    <n v="0"/>
    <n v="0"/>
    <n v="2110.9779222222219"/>
    <n v="1677.7702777777777"/>
  </r>
  <r>
    <x v="10"/>
    <s v="Metro Technology Centers                          "/>
    <m/>
    <n v="363165"/>
    <x v="9"/>
    <m/>
    <m/>
    <m/>
    <m/>
    <m/>
    <m/>
    <m/>
    <m/>
    <m/>
    <m/>
    <n v="0"/>
    <n v="0"/>
    <n v="0"/>
    <n v="0"/>
    <m/>
    <m/>
    <n v="0"/>
    <n v="0"/>
    <m/>
    <m/>
    <m/>
    <m/>
    <m/>
    <m/>
    <n v="1199650.75"/>
    <n v="1206431.8999999999"/>
    <n v="1199650.75"/>
    <n v="1332.9452777777778"/>
    <n v="1206431.8999999999"/>
    <n v="1340.4798888888888"/>
    <m/>
    <m/>
    <n v="0"/>
    <n v="0"/>
    <m/>
    <m/>
    <m/>
    <m/>
    <m/>
    <m/>
    <m/>
    <m/>
    <n v="0"/>
    <n v="0"/>
    <n v="0"/>
    <n v="0"/>
    <n v="1332.9452777777778"/>
    <n v="1340.4798888888888"/>
  </r>
  <r>
    <x v="10"/>
    <s v="Autry Technology Center                           "/>
    <m/>
    <n v="365213"/>
    <x v="10"/>
    <m/>
    <m/>
    <m/>
    <m/>
    <m/>
    <m/>
    <m/>
    <m/>
    <m/>
    <m/>
    <n v="0"/>
    <n v="0"/>
    <n v="0"/>
    <n v="0"/>
    <m/>
    <m/>
    <n v="0"/>
    <n v="0"/>
    <m/>
    <m/>
    <m/>
    <m/>
    <m/>
    <m/>
    <n v="524393.80000000005"/>
    <n v="499956.15"/>
    <n v="524393.80000000005"/>
    <n v="582.65977777777778"/>
    <n v="499956.15"/>
    <n v="555.50683333333336"/>
    <m/>
    <m/>
    <n v="0"/>
    <n v="0"/>
    <m/>
    <m/>
    <m/>
    <m/>
    <m/>
    <m/>
    <m/>
    <m/>
    <n v="0"/>
    <n v="0"/>
    <n v="0"/>
    <n v="0"/>
    <n v="582.65977777777778"/>
    <n v="555.50683333333336"/>
  </r>
  <r>
    <x v="10"/>
    <s v="Caddo Kiowa Technology Center                     "/>
    <m/>
    <n v="364946"/>
    <x v="10"/>
    <m/>
    <m/>
    <m/>
    <m/>
    <m/>
    <m/>
    <m/>
    <m/>
    <m/>
    <m/>
    <n v="0"/>
    <n v="0"/>
    <n v="0"/>
    <n v="0"/>
    <m/>
    <m/>
    <n v="0"/>
    <n v="0"/>
    <m/>
    <m/>
    <m/>
    <m/>
    <m/>
    <m/>
    <n v="441123.34"/>
    <n v="357117"/>
    <n v="441123.34"/>
    <n v="490.13704444444448"/>
    <n v="357117"/>
    <n v="396.79666666666668"/>
    <m/>
    <m/>
    <n v="0"/>
    <n v="0"/>
    <m/>
    <m/>
    <m/>
    <m/>
    <m/>
    <m/>
    <m/>
    <m/>
    <n v="0"/>
    <n v="0"/>
    <n v="0"/>
    <n v="0"/>
    <n v="490.13704444444448"/>
    <n v="396.79666666666668"/>
  </r>
  <r>
    <x v="10"/>
    <s v="Central Technology Center                         "/>
    <m/>
    <n v="246017"/>
    <x v="10"/>
    <m/>
    <m/>
    <m/>
    <m/>
    <m/>
    <m/>
    <m/>
    <m/>
    <m/>
    <m/>
    <n v="0"/>
    <n v="0"/>
    <n v="0"/>
    <n v="0"/>
    <m/>
    <m/>
    <n v="0"/>
    <n v="0"/>
    <m/>
    <m/>
    <m/>
    <m/>
    <m/>
    <m/>
    <n v="787308.8"/>
    <n v="778883.75"/>
    <n v="787308.8"/>
    <n v="874.78755555555563"/>
    <n v="778883.75"/>
    <n v="865.42638888888894"/>
    <m/>
    <m/>
    <n v="0"/>
    <n v="0"/>
    <m/>
    <m/>
    <m/>
    <m/>
    <m/>
    <m/>
    <m/>
    <m/>
    <n v="0"/>
    <n v="0"/>
    <n v="0"/>
    <n v="0"/>
    <n v="874.78755555555563"/>
    <n v="865.42638888888894"/>
  </r>
  <r>
    <x v="10"/>
    <s v="Chisholm Trail Technology Center                  "/>
    <m/>
    <n v="375656"/>
    <x v="10"/>
    <m/>
    <m/>
    <m/>
    <m/>
    <m/>
    <m/>
    <m/>
    <m/>
    <m/>
    <m/>
    <n v="0"/>
    <n v="0"/>
    <n v="0"/>
    <n v="0"/>
    <m/>
    <m/>
    <n v="0"/>
    <n v="0"/>
    <m/>
    <m/>
    <m/>
    <m/>
    <m/>
    <m/>
    <n v="122942.25"/>
    <n v="111580"/>
    <n v="122942.25"/>
    <n v="136.60249999999999"/>
    <n v="111580"/>
    <n v="123.97777777777777"/>
    <m/>
    <m/>
    <n v="0"/>
    <n v="0"/>
    <m/>
    <m/>
    <m/>
    <m/>
    <m/>
    <m/>
    <m/>
    <m/>
    <n v="0"/>
    <n v="0"/>
    <n v="0"/>
    <n v="0"/>
    <n v="136.60249999999999"/>
    <n v="123.97777777777777"/>
  </r>
  <r>
    <x v="10"/>
    <s v="Eastern Oklahoma County Technology Center         "/>
    <m/>
    <n v="418348"/>
    <x v="10"/>
    <m/>
    <m/>
    <m/>
    <m/>
    <m/>
    <m/>
    <m/>
    <m/>
    <m/>
    <m/>
    <n v="0"/>
    <n v="0"/>
    <n v="0"/>
    <n v="0"/>
    <m/>
    <m/>
    <n v="0"/>
    <n v="0"/>
    <m/>
    <m/>
    <m/>
    <m/>
    <m/>
    <m/>
    <n v="376301.5"/>
    <n v="331567"/>
    <n v="376301.5"/>
    <n v="418.11277777777775"/>
    <n v="331567"/>
    <n v="368.40777777777777"/>
    <m/>
    <m/>
    <n v="0"/>
    <n v="0"/>
    <m/>
    <m/>
    <m/>
    <m/>
    <m/>
    <m/>
    <m/>
    <m/>
    <n v="0"/>
    <n v="0"/>
    <n v="0"/>
    <n v="0"/>
    <n v="418.11277777777775"/>
    <n v="368.40777777777777"/>
  </r>
  <r>
    <x v="10"/>
    <s v="Gordon Cooper Technology Center                   "/>
    <m/>
    <n v="375683"/>
    <x v="10"/>
    <m/>
    <m/>
    <m/>
    <m/>
    <m/>
    <m/>
    <m/>
    <m/>
    <m/>
    <m/>
    <n v="0"/>
    <n v="0"/>
    <n v="0"/>
    <n v="0"/>
    <m/>
    <m/>
    <n v="0"/>
    <n v="0"/>
    <m/>
    <m/>
    <m/>
    <m/>
    <m/>
    <m/>
    <n v="652627"/>
    <n v="670476.5"/>
    <n v="652627"/>
    <n v="725.14111111111106"/>
    <n v="670476.5"/>
    <n v="744.97388888888884"/>
    <m/>
    <m/>
    <n v="0"/>
    <n v="0"/>
    <m/>
    <m/>
    <m/>
    <m/>
    <m/>
    <m/>
    <m/>
    <m/>
    <n v="0"/>
    <n v="0"/>
    <n v="0"/>
    <n v="0"/>
    <n v="725.14111111111106"/>
    <n v="744.97388888888884"/>
  </r>
  <r>
    <x v="10"/>
    <s v="Great Plains Technology Center                    "/>
    <s v="Reclassified: met criteria for Technical Institute or College 2 in 2009-10, 2010-11 and 2011-12."/>
    <n v="364548"/>
    <x v="10"/>
    <m/>
    <m/>
    <m/>
    <m/>
    <m/>
    <m/>
    <m/>
    <m/>
    <m/>
    <m/>
    <n v="0"/>
    <n v="0"/>
    <n v="0"/>
    <n v="0"/>
    <m/>
    <m/>
    <n v="0"/>
    <n v="0"/>
    <m/>
    <m/>
    <m/>
    <m/>
    <m/>
    <m/>
    <n v="833901.81"/>
    <n v="876995.5"/>
    <n v="833901.81"/>
    <n v="926.55756666666673"/>
    <n v="876995.5"/>
    <n v="974.43944444444446"/>
    <m/>
    <m/>
    <n v="0"/>
    <n v="0"/>
    <m/>
    <m/>
    <m/>
    <m/>
    <m/>
    <m/>
    <m/>
    <m/>
    <n v="0"/>
    <n v="0"/>
    <n v="0"/>
    <n v="0"/>
    <n v="926.55756666666673"/>
    <n v="974.43944444444446"/>
  </r>
  <r>
    <x v="10"/>
    <s v="Green Country Technology Center                   "/>
    <m/>
    <n v="428019"/>
    <x v="10"/>
    <m/>
    <m/>
    <m/>
    <m/>
    <m/>
    <m/>
    <m/>
    <m/>
    <m/>
    <m/>
    <n v="0"/>
    <n v="0"/>
    <n v="0"/>
    <n v="0"/>
    <m/>
    <m/>
    <n v="0"/>
    <n v="0"/>
    <m/>
    <m/>
    <m/>
    <m/>
    <m/>
    <m/>
    <n v="242862.5"/>
    <n v="248913"/>
    <n v="242862.5"/>
    <n v="269.84722222222223"/>
    <n v="248913"/>
    <n v="276.57"/>
    <m/>
    <m/>
    <n v="0"/>
    <n v="0"/>
    <m/>
    <m/>
    <m/>
    <m/>
    <m/>
    <m/>
    <m/>
    <m/>
    <n v="0"/>
    <n v="0"/>
    <n v="0"/>
    <n v="0"/>
    <n v="269.84722222222223"/>
    <n v="276.57"/>
  </r>
  <r>
    <x v="10"/>
    <s v="High Plains Technology Center                     "/>
    <m/>
    <n v="208053"/>
    <x v="10"/>
    <m/>
    <m/>
    <m/>
    <m/>
    <m/>
    <m/>
    <m/>
    <m/>
    <m/>
    <m/>
    <n v="0"/>
    <n v="0"/>
    <n v="0"/>
    <n v="0"/>
    <m/>
    <m/>
    <n v="0"/>
    <n v="0"/>
    <m/>
    <m/>
    <m/>
    <m/>
    <m/>
    <m/>
    <n v="229405.5"/>
    <n v="215438.75"/>
    <n v="229405.5"/>
    <n v="254.89500000000001"/>
    <n v="215438.75"/>
    <n v="239.3763888888889"/>
    <m/>
    <m/>
    <n v="0"/>
    <n v="0"/>
    <m/>
    <m/>
    <m/>
    <m/>
    <m/>
    <m/>
    <m/>
    <m/>
    <n v="0"/>
    <n v="0"/>
    <n v="0"/>
    <n v="0"/>
    <n v="254.89500000000001"/>
    <n v="239.3763888888889"/>
  </r>
  <r>
    <x v="10"/>
    <s v="Indian Capital Technology Center-Muskogee         "/>
    <m/>
    <n v="418296"/>
    <x v="10"/>
    <m/>
    <m/>
    <m/>
    <m/>
    <m/>
    <m/>
    <m/>
    <m/>
    <m/>
    <m/>
    <n v="0"/>
    <n v="0"/>
    <n v="0"/>
    <n v="0"/>
    <m/>
    <m/>
    <n v="0"/>
    <n v="0"/>
    <m/>
    <m/>
    <m/>
    <m/>
    <m/>
    <m/>
    <n v="498706.5"/>
    <n v="490481.07"/>
    <n v="498706.5"/>
    <n v="554.11833333333334"/>
    <n v="490481.07"/>
    <n v="544.97896666666668"/>
    <m/>
    <m/>
    <n v="0"/>
    <n v="0"/>
    <m/>
    <m/>
    <m/>
    <m/>
    <m/>
    <m/>
    <m/>
    <m/>
    <n v="0"/>
    <n v="0"/>
    <n v="0"/>
    <n v="0"/>
    <n v="554.11833333333334"/>
    <n v="544.97896666666668"/>
  </r>
  <r>
    <x v="10"/>
    <s v="Indian Capital Technology Center-Sallisaw         "/>
    <m/>
    <n v="421540"/>
    <x v="10"/>
    <m/>
    <m/>
    <m/>
    <m/>
    <m/>
    <m/>
    <m/>
    <m/>
    <m/>
    <m/>
    <n v="0"/>
    <n v="0"/>
    <n v="0"/>
    <n v="0"/>
    <m/>
    <m/>
    <n v="0"/>
    <n v="0"/>
    <m/>
    <m/>
    <m/>
    <m/>
    <m/>
    <m/>
    <n v="167950"/>
    <n v="172153"/>
    <n v="167950"/>
    <n v="186.61111111111111"/>
    <n v="172153"/>
    <n v="191.2811111111111"/>
    <m/>
    <m/>
    <n v="0"/>
    <n v="0"/>
    <m/>
    <m/>
    <m/>
    <m/>
    <m/>
    <m/>
    <m/>
    <m/>
    <n v="0"/>
    <n v="0"/>
    <n v="0"/>
    <n v="0"/>
    <n v="186.61111111111111"/>
    <n v="191.2811111111111"/>
  </r>
  <r>
    <x v="10"/>
    <s v="Indian Capital Technology Center-Stilwell         "/>
    <m/>
    <n v="421559"/>
    <x v="10"/>
    <m/>
    <m/>
    <m/>
    <m/>
    <m/>
    <m/>
    <m/>
    <m/>
    <m/>
    <m/>
    <n v="0"/>
    <n v="0"/>
    <n v="0"/>
    <n v="0"/>
    <m/>
    <m/>
    <n v="0"/>
    <n v="0"/>
    <m/>
    <m/>
    <m/>
    <m/>
    <m/>
    <m/>
    <n v="114297"/>
    <n v="103565"/>
    <n v="114297"/>
    <n v="126.99666666666667"/>
    <n v="103565"/>
    <n v="115.07222222222222"/>
    <m/>
    <m/>
    <n v="0"/>
    <n v="0"/>
    <m/>
    <m/>
    <m/>
    <m/>
    <m/>
    <m/>
    <m/>
    <m/>
    <n v="0"/>
    <n v="0"/>
    <n v="0"/>
    <n v="0"/>
    <n v="126.99666666666667"/>
    <n v="115.07222222222222"/>
  </r>
  <r>
    <x v="10"/>
    <s v="Indian Capital Technology Center-Tahlequah        "/>
    <m/>
    <n v="208026"/>
    <x v="10"/>
    <m/>
    <m/>
    <m/>
    <m/>
    <m/>
    <m/>
    <m/>
    <m/>
    <m/>
    <m/>
    <n v="0"/>
    <n v="0"/>
    <n v="0"/>
    <n v="0"/>
    <m/>
    <m/>
    <n v="0"/>
    <n v="0"/>
    <m/>
    <m/>
    <m/>
    <m/>
    <m/>
    <m/>
    <n v="214010.35"/>
    <n v="209746"/>
    <n v="214010.35"/>
    <n v="237.78927777777778"/>
    <n v="209746"/>
    <n v="233.05111111111111"/>
    <m/>
    <m/>
    <n v="0"/>
    <n v="0"/>
    <m/>
    <m/>
    <m/>
    <m/>
    <m/>
    <m/>
    <m/>
    <m/>
    <n v="0"/>
    <n v="0"/>
    <n v="0"/>
    <n v="0"/>
    <n v="237.78927777777778"/>
    <n v="233.05111111111111"/>
  </r>
  <r>
    <x v="10"/>
    <s v="Kiamichi Technology Center-Atoka                  "/>
    <m/>
    <n v="375692"/>
    <x v="10"/>
    <m/>
    <m/>
    <m/>
    <m/>
    <m/>
    <m/>
    <m/>
    <m/>
    <m/>
    <m/>
    <n v="0"/>
    <n v="0"/>
    <n v="0"/>
    <n v="0"/>
    <m/>
    <m/>
    <n v="0"/>
    <n v="0"/>
    <m/>
    <m/>
    <m/>
    <m/>
    <m/>
    <m/>
    <n v="123431"/>
    <n v="109267.5"/>
    <n v="123431"/>
    <n v="137.14555555555555"/>
    <n v="109267.5"/>
    <n v="121.40833333333333"/>
    <m/>
    <m/>
    <n v="0"/>
    <n v="0"/>
    <m/>
    <m/>
    <m/>
    <m/>
    <m/>
    <m/>
    <m/>
    <m/>
    <n v="0"/>
    <n v="0"/>
    <n v="0"/>
    <n v="0"/>
    <n v="137.14555555555555"/>
    <n v="121.40833333333333"/>
  </r>
  <r>
    <x v="10"/>
    <s v="Kiamichi Technology Center-Durant                 "/>
    <m/>
    <n v="375708"/>
    <x v="10"/>
    <m/>
    <m/>
    <m/>
    <m/>
    <m/>
    <m/>
    <m/>
    <m/>
    <m/>
    <m/>
    <n v="0"/>
    <n v="0"/>
    <n v="0"/>
    <n v="0"/>
    <m/>
    <m/>
    <n v="0"/>
    <n v="0"/>
    <m/>
    <m/>
    <m/>
    <m/>
    <m/>
    <m/>
    <n v="240929.5"/>
    <n v="203568"/>
    <n v="240929.5"/>
    <n v="267.69944444444445"/>
    <n v="203568"/>
    <n v="226.18666666666667"/>
    <m/>
    <m/>
    <n v="0"/>
    <n v="0"/>
    <m/>
    <m/>
    <m/>
    <m/>
    <m/>
    <m/>
    <m/>
    <m/>
    <n v="0"/>
    <n v="0"/>
    <n v="0"/>
    <n v="0"/>
    <n v="267.69944444444445"/>
    <n v="226.18666666666667"/>
  </r>
  <r>
    <x v="10"/>
    <s v="Kiamichi Technology Center-Hugo                   "/>
    <m/>
    <n v="375717"/>
    <x v="10"/>
    <m/>
    <m/>
    <m/>
    <m/>
    <m/>
    <m/>
    <m/>
    <m/>
    <m/>
    <m/>
    <n v="0"/>
    <n v="0"/>
    <n v="0"/>
    <n v="0"/>
    <m/>
    <m/>
    <n v="0"/>
    <n v="0"/>
    <m/>
    <m/>
    <m/>
    <m/>
    <m/>
    <m/>
    <n v="136521.5"/>
    <n v="147098"/>
    <n v="136521.5"/>
    <n v="151.69055555555556"/>
    <n v="147098"/>
    <n v="163.44222222222223"/>
    <m/>
    <m/>
    <n v="0"/>
    <n v="0"/>
    <m/>
    <m/>
    <m/>
    <m/>
    <m/>
    <m/>
    <m/>
    <m/>
    <n v="0"/>
    <n v="0"/>
    <n v="0"/>
    <n v="0"/>
    <n v="151.69055555555556"/>
    <n v="163.44222222222223"/>
  </r>
  <r>
    <x v="10"/>
    <s v="Kiamichi Technology Center-Idabel                 "/>
    <m/>
    <n v="375735"/>
    <x v="10"/>
    <m/>
    <m/>
    <m/>
    <m/>
    <m/>
    <m/>
    <m/>
    <m/>
    <m/>
    <m/>
    <n v="0"/>
    <n v="0"/>
    <n v="0"/>
    <n v="0"/>
    <m/>
    <m/>
    <n v="0"/>
    <n v="0"/>
    <m/>
    <m/>
    <m/>
    <m/>
    <m/>
    <m/>
    <n v="331053.5"/>
    <n v="180915"/>
    <n v="331053.5"/>
    <n v="367.83722222222224"/>
    <n v="180915"/>
    <n v="201.01666666666668"/>
    <m/>
    <m/>
    <n v="0"/>
    <n v="0"/>
    <m/>
    <m/>
    <m/>
    <m/>
    <m/>
    <m/>
    <m/>
    <m/>
    <n v="0"/>
    <n v="0"/>
    <n v="0"/>
    <n v="0"/>
    <n v="367.83722222222224"/>
    <n v="201.01666666666668"/>
  </r>
  <r>
    <x v="10"/>
    <s v="Kiamichi Technology Center-McAlester              "/>
    <m/>
    <n v="375726"/>
    <x v="10"/>
    <m/>
    <m/>
    <m/>
    <m/>
    <m/>
    <m/>
    <m/>
    <m/>
    <m/>
    <m/>
    <n v="0"/>
    <n v="0"/>
    <n v="0"/>
    <n v="0"/>
    <m/>
    <m/>
    <n v="0"/>
    <n v="0"/>
    <m/>
    <m/>
    <m/>
    <m/>
    <m/>
    <m/>
    <n v="319569.5"/>
    <n v="321603.5"/>
    <n v="319569.5"/>
    <n v="355.07722222222225"/>
    <n v="321603.5"/>
    <n v="357.33722222222224"/>
    <m/>
    <m/>
    <n v="0"/>
    <n v="0"/>
    <m/>
    <m/>
    <m/>
    <m/>
    <m/>
    <m/>
    <m/>
    <m/>
    <n v="0"/>
    <n v="0"/>
    <n v="0"/>
    <n v="0"/>
    <n v="355.07722222222225"/>
    <n v="357.33722222222224"/>
  </r>
  <r>
    <x v="10"/>
    <s v="Kiamichi Technology Center-Poteau                 "/>
    <m/>
    <n v="375744"/>
    <x v="10"/>
    <m/>
    <m/>
    <m/>
    <m/>
    <m/>
    <m/>
    <m/>
    <m/>
    <m/>
    <m/>
    <n v="0"/>
    <n v="0"/>
    <n v="0"/>
    <n v="0"/>
    <m/>
    <m/>
    <n v="0"/>
    <n v="0"/>
    <m/>
    <m/>
    <m/>
    <m/>
    <m/>
    <m/>
    <n v="286299.75"/>
    <n v="266179.5"/>
    <n v="286299.75"/>
    <n v="318.11083333333335"/>
    <n v="266179.5"/>
    <n v="295.755"/>
    <m/>
    <m/>
    <n v="0"/>
    <n v="0"/>
    <m/>
    <m/>
    <m/>
    <m/>
    <m/>
    <m/>
    <m/>
    <m/>
    <n v="0"/>
    <n v="0"/>
    <n v="0"/>
    <n v="0"/>
    <n v="318.11083333333335"/>
    <n v="295.755"/>
  </r>
  <r>
    <x v="10"/>
    <s v="Kiamichi Technology Center-Spiro                  "/>
    <m/>
    <n v="375753"/>
    <x v="10"/>
    <m/>
    <m/>
    <m/>
    <m/>
    <m/>
    <m/>
    <m/>
    <m/>
    <m/>
    <m/>
    <n v="0"/>
    <n v="0"/>
    <n v="0"/>
    <n v="0"/>
    <m/>
    <m/>
    <n v="0"/>
    <n v="0"/>
    <m/>
    <m/>
    <m/>
    <m/>
    <m/>
    <m/>
    <n v="31465"/>
    <n v="24676"/>
    <n v="31465"/>
    <n v="34.961111111111109"/>
    <n v="24676"/>
    <n v="27.417777777777779"/>
    <m/>
    <m/>
    <n v="0"/>
    <n v="0"/>
    <m/>
    <m/>
    <m/>
    <m/>
    <m/>
    <m/>
    <m/>
    <m/>
    <n v="0"/>
    <n v="0"/>
    <n v="0"/>
    <n v="0"/>
    <n v="34.961111111111109"/>
    <n v="27.417777777777779"/>
  </r>
  <r>
    <x v="10"/>
    <s v="Kiamichi Technology Center-Stigler                "/>
    <m/>
    <n v="405748"/>
    <x v="10"/>
    <m/>
    <m/>
    <m/>
    <m/>
    <m/>
    <m/>
    <m/>
    <m/>
    <m/>
    <m/>
    <n v="0"/>
    <n v="0"/>
    <n v="0"/>
    <n v="0"/>
    <m/>
    <m/>
    <n v="0"/>
    <n v="0"/>
    <m/>
    <m/>
    <m/>
    <m/>
    <m/>
    <m/>
    <n v="85055"/>
    <n v="86214"/>
    <n v="85055"/>
    <n v="94.50555555555556"/>
    <n v="86214"/>
    <n v="95.793333333333337"/>
    <m/>
    <m/>
    <n v="0"/>
    <n v="0"/>
    <m/>
    <m/>
    <m/>
    <m/>
    <m/>
    <m/>
    <m/>
    <m/>
    <n v="0"/>
    <n v="0"/>
    <n v="0"/>
    <n v="0"/>
    <n v="94.50555555555556"/>
    <n v="95.793333333333337"/>
  </r>
  <r>
    <x v="10"/>
    <s v="Kiamichi Technology Center-Talihina               "/>
    <m/>
    <n v="375762"/>
    <x v="10"/>
    <m/>
    <m/>
    <m/>
    <m/>
    <m/>
    <m/>
    <m/>
    <m/>
    <m/>
    <m/>
    <n v="0"/>
    <n v="0"/>
    <n v="0"/>
    <n v="0"/>
    <m/>
    <m/>
    <n v="0"/>
    <n v="0"/>
    <m/>
    <m/>
    <m/>
    <m/>
    <m/>
    <m/>
    <n v="70651.3"/>
    <n v="70761"/>
    <n v="70651.3"/>
    <n v="78.501444444444445"/>
    <n v="70761"/>
    <n v="78.623333333333335"/>
    <m/>
    <m/>
    <n v="0"/>
    <n v="0"/>
    <m/>
    <m/>
    <m/>
    <m/>
    <m/>
    <m/>
    <m/>
    <m/>
    <n v="0"/>
    <n v="0"/>
    <n v="0"/>
    <n v="0"/>
    <n v="78.501444444444445"/>
    <n v="78.623333333333335"/>
  </r>
  <r>
    <x v="10"/>
    <s v="Meridian Technology Center                        "/>
    <m/>
    <n v="365480"/>
    <x v="10"/>
    <m/>
    <m/>
    <m/>
    <m/>
    <m/>
    <m/>
    <m/>
    <m/>
    <m/>
    <m/>
    <n v="0"/>
    <n v="0"/>
    <n v="0"/>
    <n v="0"/>
    <m/>
    <m/>
    <n v="0"/>
    <n v="0"/>
    <m/>
    <m/>
    <m/>
    <m/>
    <m/>
    <m/>
    <n v="485372.75"/>
    <n v="450981"/>
    <n v="485372.75"/>
    <n v="539.3030555555556"/>
    <n v="450981"/>
    <n v="501.09"/>
    <m/>
    <m/>
    <n v="0"/>
    <n v="0"/>
    <m/>
    <m/>
    <m/>
    <m/>
    <m/>
    <m/>
    <m/>
    <m/>
    <n v="0"/>
    <n v="0"/>
    <n v="0"/>
    <n v="0"/>
    <n v="539.3030555555556"/>
    <n v="501.09"/>
  </r>
  <r>
    <x v="10"/>
    <s v="Mid-America Technology Center                     "/>
    <m/>
    <n v="418320"/>
    <x v="10"/>
    <m/>
    <m/>
    <m/>
    <m/>
    <m/>
    <m/>
    <m/>
    <m/>
    <m/>
    <m/>
    <n v="0"/>
    <n v="0"/>
    <n v="0"/>
    <n v="0"/>
    <m/>
    <m/>
    <n v="0"/>
    <n v="0"/>
    <m/>
    <m/>
    <m/>
    <m/>
    <m/>
    <m/>
    <n v="551805"/>
    <n v="549738.5"/>
    <n v="551805"/>
    <n v="613.11666666666667"/>
    <n v="549738.5"/>
    <n v="610.82055555555553"/>
    <m/>
    <m/>
    <n v="0"/>
    <n v="0"/>
    <m/>
    <m/>
    <m/>
    <m/>
    <m/>
    <m/>
    <m/>
    <m/>
    <n v="0"/>
    <n v="0"/>
    <n v="0"/>
    <n v="0"/>
    <n v="613.11666666666667"/>
    <n v="610.82055555555553"/>
  </r>
  <r>
    <x v="10"/>
    <s v="Mid-Del Technology Center                         "/>
    <m/>
    <n v="431017"/>
    <x v="10"/>
    <m/>
    <m/>
    <m/>
    <m/>
    <m/>
    <m/>
    <m/>
    <m/>
    <m/>
    <m/>
    <n v="0"/>
    <n v="0"/>
    <n v="0"/>
    <n v="0"/>
    <m/>
    <m/>
    <n v="0"/>
    <n v="0"/>
    <m/>
    <m/>
    <m/>
    <m/>
    <m/>
    <m/>
    <n v="489553.5"/>
    <n v="484171"/>
    <n v="489553.5"/>
    <n v="543.94833333333338"/>
    <n v="484171"/>
    <n v="537.96777777777777"/>
    <m/>
    <m/>
    <n v="0"/>
    <n v="0"/>
    <m/>
    <m/>
    <m/>
    <m/>
    <m/>
    <m/>
    <m/>
    <m/>
    <n v="0"/>
    <n v="0"/>
    <n v="0"/>
    <n v="0"/>
    <n v="543.94833333333338"/>
    <n v="537.96777777777777"/>
  </r>
  <r>
    <x v="10"/>
    <s v="Moore Norman Technology Center                    "/>
    <m/>
    <n v="248606"/>
    <x v="10"/>
    <m/>
    <m/>
    <m/>
    <m/>
    <m/>
    <m/>
    <m/>
    <m/>
    <m/>
    <m/>
    <n v="0"/>
    <n v="0"/>
    <n v="0"/>
    <n v="0"/>
    <m/>
    <m/>
    <n v="0"/>
    <n v="0"/>
    <m/>
    <m/>
    <m/>
    <m/>
    <m/>
    <m/>
    <n v="898923.95"/>
    <n v="950240.01"/>
    <n v="898923.95"/>
    <n v="998.80438888888887"/>
    <n v="950240.01"/>
    <n v="1055.8222333333333"/>
    <m/>
    <m/>
    <n v="0"/>
    <n v="0"/>
    <m/>
    <m/>
    <m/>
    <m/>
    <m/>
    <m/>
    <m/>
    <m/>
    <n v="0"/>
    <n v="0"/>
    <n v="0"/>
    <n v="0"/>
    <n v="998.80438888888887"/>
    <n v="1055.8222333333333"/>
  </r>
  <r>
    <x v="10"/>
    <s v="Northeast Technology Center-Afton                 "/>
    <m/>
    <n v="420459"/>
    <x v="10"/>
    <m/>
    <m/>
    <m/>
    <m/>
    <m/>
    <m/>
    <m/>
    <m/>
    <m/>
    <m/>
    <n v="0"/>
    <n v="0"/>
    <n v="0"/>
    <n v="0"/>
    <m/>
    <m/>
    <n v="0"/>
    <n v="0"/>
    <m/>
    <m/>
    <m/>
    <m/>
    <m/>
    <m/>
    <n v="332171.5"/>
    <n v="295356.5"/>
    <n v="332171.5"/>
    <n v="369.07944444444445"/>
    <n v="295356.5"/>
    <n v="328.17388888888888"/>
    <m/>
    <m/>
    <n v="0"/>
    <n v="0"/>
    <m/>
    <m/>
    <m/>
    <m/>
    <m/>
    <m/>
    <m/>
    <m/>
    <n v="0"/>
    <n v="0"/>
    <n v="0"/>
    <n v="0"/>
    <n v="369.07944444444445"/>
    <n v="328.17388888888888"/>
  </r>
  <r>
    <x v="10"/>
    <s v="Northeast Technology Center-Claremore"/>
    <s v="New institution no longer in start up phase. "/>
    <s v="456560"/>
    <x v="10"/>
    <m/>
    <m/>
    <m/>
    <m/>
    <m/>
    <m/>
    <m/>
    <m/>
    <m/>
    <m/>
    <n v="0"/>
    <n v="0"/>
    <n v="0"/>
    <n v="0"/>
    <m/>
    <m/>
    <n v="0"/>
    <n v="0"/>
    <m/>
    <m/>
    <m/>
    <m/>
    <m/>
    <m/>
    <n v="89669"/>
    <n v="97753"/>
    <n v="89669"/>
    <n v="99.632222222222225"/>
    <n v="97753"/>
    <n v="108.61444444444444"/>
    <m/>
    <m/>
    <n v="0"/>
    <n v="0"/>
    <m/>
    <m/>
    <m/>
    <m/>
    <m/>
    <m/>
    <m/>
    <m/>
    <n v="0"/>
    <n v="0"/>
    <n v="0"/>
    <n v="0"/>
    <n v="99.632222222222225"/>
    <n v="108.61444444444444"/>
  </r>
  <r>
    <x v="10"/>
    <s v="Northeast Technology Center-Kansas                "/>
    <m/>
    <n v="432074"/>
    <x v="10"/>
    <m/>
    <m/>
    <m/>
    <m/>
    <m/>
    <m/>
    <m/>
    <m/>
    <m/>
    <m/>
    <n v="0"/>
    <n v="0"/>
    <n v="0"/>
    <n v="0"/>
    <m/>
    <m/>
    <n v="0"/>
    <n v="0"/>
    <m/>
    <m/>
    <m/>
    <m/>
    <m/>
    <m/>
    <n v="185825.9"/>
    <n v="161927"/>
    <n v="185825.9"/>
    <n v="206.4732222222222"/>
    <n v="161927"/>
    <n v="179.91888888888889"/>
    <m/>
    <m/>
    <n v="0"/>
    <n v="0"/>
    <m/>
    <m/>
    <m/>
    <m/>
    <m/>
    <m/>
    <m/>
    <m/>
    <n v="0"/>
    <n v="0"/>
    <n v="0"/>
    <n v="0"/>
    <n v="206.4732222222222"/>
    <n v="179.91888888888889"/>
  </r>
  <r>
    <x v="10"/>
    <s v="Northeast Technology Center-Pryor                 "/>
    <m/>
    <n v="418339"/>
    <x v="10"/>
    <m/>
    <m/>
    <m/>
    <m/>
    <m/>
    <m/>
    <m/>
    <m/>
    <m/>
    <m/>
    <n v="0"/>
    <n v="0"/>
    <n v="0"/>
    <n v="0"/>
    <m/>
    <m/>
    <n v="0"/>
    <n v="0"/>
    <m/>
    <m/>
    <m/>
    <m/>
    <m/>
    <m/>
    <n v="341716.49"/>
    <n v="277570"/>
    <n v="341716.49"/>
    <n v="379.68498888888888"/>
    <n v="277570"/>
    <n v="308.4111111111111"/>
    <m/>
    <m/>
    <n v="0"/>
    <n v="0"/>
    <m/>
    <m/>
    <m/>
    <m/>
    <m/>
    <m/>
    <m/>
    <m/>
    <n v="0"/>
    <n v="0"/>
    <n v="0"/>
    <n v="0"/>
    <n v="379.68498888888888"/>
    <n v="308.4111111111111"/>
  </r>
  <r>
    <x v="10"/>
    <s v="Northwest Technology Center-Alva                  "/>
    <m/>
    <n v="366623"/>
    <x v="10"/>
    <m/>
    <m/>
    <m/>
    <m/>
    <m/>
    <m/>
    <m/>
    <m/>
    <m/>
    <m/>
    <n v="0"/>
    <n v="0"/>
    <n v="0"/>
    <n v="0"/>
    <m/>
    <m/>
    <n v="0"/>
    <n v="0"/>
    <m/>
    <m/>
    <m/>
    <m/>
    <m/>
    <m/>
    <n v="91037.75"/>
    <n v="92776.62"/>
    <n v="91037.75"/>
    <n v="101.15305555555555"/>
    <n v="92776.62"/>
    <n v="103.08513333333333"/>
    <m/>
    <m/>
    <n v="0"/>
    <n v="0"/>
    <m/>
    <m/>
    <m/>
    <m/>
    <m/>
    <m/>
    <m/>
    <m/>
    <n v="0"/>
    <n v="0"/>
    <n v="0"/>
    <n v="0"/>
    <n v="101.15305555555555"/>
    <n v="103.08513333333333"/>
  </r>
  <r>
    <x v="10"/>
    <s v="Northwest Technology Center-Fairview              "/>
    <m/>
    <n v="407601"/>
    <x v="10"/>
    <m/>
    <m/>
    <m/>
    <m/>
    <m/>
    <m/>
    <m/>
    <m/>
    <m/>
    <m/>
    <n v="0"/>
    <n v="0"/>
    <n v="0"/>
    <n v="0"/>
    <m/>
    <m/>
    <n v="0"/>
    <n v="0"/>
    <m/>
    <m/>
    <m/>
    <m/>
    <m/>
    <m/>
    <n v="89350"/>
    <n v="85314.25"/>
    <n v="89350"/>
    <n v="99.277777777777771"/>
    <n v="85314.25"/>
    <n v="94.793611111111105"/>
    <m/>
    <m/>
    <n v="0"/>
    <n v="0"/>
    <m/>
    <m/>
    <m/>
    <m/>
    <m/>
    <m/>
    <m/>
    <m/>
    <n v="0"/>
    <n v="0"/>
    <n v="0"/>
    <n v="0"/>
    <n v="99.277777777777771"/>
    <n v="94.793611111111105"/>
  </r>
  <r>
    <x v="10"/>
    <s v="Pioneer Technology Center                         "/>
    <m/>
    <n v="364627"/>
    <x v="10"/>
    <m/>
    <m/>
    <m/>
    <m/>
    <m/>
    <m/>
    <m/>
    <m/>
    <m/>
    <m/>
    <n v="0"/>
    <n v="0"/>
    <n v="0"/>
    <n v="0"/>
    <m/>
    <m/>
    <n v="0"/>
    <n v="0"/>
    <m/>
    <m/>
    <m/>
    <m/>
    <m/>
    <m/>
    <n v="319049"/>
    <n v="299488.75"/>
    <n v="319049"/>
    <n v="354.49888888888887"/>
    <n v="299488.75"/>
    <n v="332.76527777777778"/>
    <m/>
    <m/>
    <n v="0"/>
    <n v="0"/>
    <m/>
    <m/>
    <m/>
    <m/>
    <m/>
    <m/>
    <m/>
    <m/>
    <n v="0"/>
    <n v="0"/>
    <n v="0"/>
    <n v="0"/>
    <n v="354.49888888888887"/>
    <n v="332.76527777777778"/>
  </r>
  <r>
    <x v="10"/>
    <s v="Pontotoc Technology Center                        "/>
    <m/>
    <n v="206905"/>
    <x v="10"/>
    <m/>
    <m/>
    <m/>
    <m/>
    <m/>
    <m/>
    <m/>
    <m/>
    <m/>
    <m/>
    <n v="0"/>
    <n v="0"/>
    <n v="0"/>
    <n v="0"/>
    <m/>
    <m/>
    <n v="0"/>
    <n v="0"/>
    <m/>
    <m/>
    <m/>
    <m/>
    <m/>
    <m/>
    <n v="245485.5"/>
    <n v="201922"/>
    <n v="245485.5"/>
    <n v="272.76166666666666"/>
    <n v="201922"/>
    <n v="224.35777777777778"/>
    <m/>
    <m/>
    <n v="0"/>
    <n v="0"/>
    <m/>
    <m/>
    <m/>
    <m/>
    <m/>
    <m/>
    <m/>
    <m/>
    <n v="0"/>
    <n v="0"/>
    <n v="0"/>
    <n v="0"/>
    <n v="272.76166666666666"/>
    <n v="224.35777777777778"/>
  </r>
  <r>
    <x v="10"/>
    <s v="Red River Technology Center                       "/>
    <m/>
    <n v="250993"/>
    <x v="10"/>
    <m/>
    <m/>
    <m/>
    <m/>
    <m/>
    <m/>
    <m/>
    <m/>
    <m/>
    <m/>
    <n v="0"/>
    <n v="0"/>
    <n v="0"/>
    <n v="0"/>
    <m/>
    <m/>
    <n v="0"/>
    <n v="0"/>
    <m/>
    <m/>
    <m/>
    <m/>
    <m/>
    <m/>
    <n v="326031.05"/>
    <n v="312411.40999999997"/>
    <n v="326031.05"/>
    <n v="362.25672222222221"/>
    <n v="312411.40999999997"/>
    <n v="347.12378888888884"/>
    <m/>
    <m/>
    <n v="0"/>
    <n v="0"/>
    <m/>
    <m/>
    <m/>
    <m/>
    <m/>
    <m/>
    <m/>
    <m/>
    <n v="0"/>
    <n v="0"/>
    <n v="0"/>
    <n v="0"/>
    <n v="362.25672222222221"/>
    <n v="347.12378888888884"/>
  </r>
  <r>
    <x v="10"/>
    <s v="Southern Oklahoma Technology Center               "/>
    <m/>
    <n v="365198"/>
    <x v="10"/>
    <m/>
    <m/>
    <m/>
    <m/>
    <m/>
    <m/>
    <m/>
    <m/>
    <m/>
    <m/>
    <n v="0"/>
    <n v="0"/>
    <n v="0"/>
    <n v="0"/>
    <m/>
    <m/>
    <n v="0"/>
    <n v="0"/>
    <m/>
    <m/>
    <m/>
    <m/>
    <m/>
    <m/>
    <n v="393471.02"/>
    <n v="366536"/>
    <n v="393471.02"/>
    <n v="437.19002222222224"/>
    <n v="366536"/>
    <n v="407.26222222222225"/>
    <m/>
    <m/>
    <n v="0"/>
    <n v="0"/>
    <m/>
    <m/>
    <m/>
    <m/>
    <m/>
    <m/>
    <m/>
    <m/>
    <n v="0"/>
    <n v="0"/>
    <n v="0"/>
    <n v="0"/>
    <n v="437.19002222222224"/>
    <n v="407.26222222222225"/>
  </r>
  <r>
    <x v="10"/>
    <s v="Southwest Technology Center                       "/>
    <m/>
    <n v="368364"/>
    <x v="10"/>
    <m/>
    <m/>
    <m/>
    <m/>
    <m/>
    <m/>
    <m/>
    <m/>
    <m/>
    <m/>
    <n v="0"/>
    <n v="0"/>
    <n v="0"/>
    <n v="0"/>
    <m/>
    <m/>
    <n v="0"/>
    <n v="0"/>
    <m/>
    <m/>
    <m/>
    <m/>
    <m/>
    <m/>
    <n v="208643.5"/>
    <n v="233505"/>
    <n v="208643.5"/>
    <n v="231.82611111111112"/>
    <n v="233505"/>
    <n v="259.45"/>
    <m/>
    <m/>
    <n v="0"/>
    <n v="0"/>
    <m/>
    <m/>
    <m/>
    <m/>
    <m/>
    <m/>
    <m/>
    <m/>
    <n v="0"/>
    <n v="0"/>
    <n v="0"/>
    <n v="0"/>
    <n v="231.82611111111112"/>
    <n v="259.45"/>
  </r>
  <r>
    <x v="10"/>
    <s v="Tri County Technology Center                      "/>
    <m/>
    <n v="418287"/>
    <x v="10"/>
    <m/>
    <m/>
    <m/>
    <m/>
    <m/>
    <m/>
    <m/>
    <m/>
    <m/>
    <m/>
    <n v="0"/>
    <n v="0"/>
    <n v="0"/>
    <n v="0"/>
    <m/>
    <m/>
    <n v="0"/>
    <n v="0"/>
    <m/>
    <m/>
    <m/>
    <m/>
    <m/>
    <m/>
    <n v="408817"/>
    <n v="409084.75"/>
    <n v="408817"/>
    <n v="454.24111111111114"/>
    <n v="409084.75"/>
    <n v="454.53861111111109"/>
    <m/>
    <m/>
    <n v="0"/>
    <n v="0"/>
    <m/>
    <m/>
    <m/>
    <m/>
    <m/>
    <m/>
    <m/>
    <m/>
    <n v="0"/>
    <n v="0"/>
    <n v="0"/>
    <n v="0"/>
    <n v="454.24111111111114"/>
    <n v="454.53861111111109"/>
  </r>
  <r>
    <x v="10"/>
    <s v="Tulsa County Area Voc Tech School Dist 18-Peoria  "/>
    <m/>
    <n v="207607"/>
    <x v="10"/>
    <m/>
    <m/>
    <m/>
    <m/>
    <m/>
    <m/>
    <m/>
    <m/>
    <m/>
    <m/>
    <n v="0"/>
    <n v="0"/>
    <n v="0"/>
    <n v="0"/>
    <m/>
    <m/>
    <n v="0"/>
    <n v="0"/>
    <m/>
    <m/>
    <m/>
    <m/>
    <m/>
    <m/>
    <n v="389311"/>
    <n v="343403.42"/>
    <n v="389311"/>
    <n v="432.56777777777779"/>
    <n v="343403.42"/>
    <n v="381.55935555555556"/>
    <m/>
    <m/>
    <n v="0"/>
    <n v="0"/>
    <m/>
    <m/>
    <m/>
    <m/>
    <m/>
    <m/>
    <m/>
    <m/>
    <n v="0"/>
    <n v="0"/>
    <n v="0"/>
    <n v="0"/>
    <n v="432.56777777777779"/>
    <n v="381.55935555555556"/>
  </r>
  <r>
    <x v="10"/>
    <s v="Tulsa Technology Center-Broken Arrow Campus       "/>
    <s v="Reclassified: met criteria for Technical Institute or College 2 in 2009-10, 2010-11 and 2011-12."/>
    <n v="261393"/>
    <x v="10"/>
    <m/>
    <m/>
    <m/>
    <m/>
    <m/>
    <m/>
    <m/>
    <m/>
    <m/>
    <m/>
    <n v="0"/>
    <n v="0"/>
    <n v="0"/>
    <n v="0"/>
    <m/>
    <m/>
    <n v="0"/>
    <n v="0"/>
    <m/>
    <m/>
    <m/>
    <m/>
    <m/>
    <m/>
    <n v="611555.15"/>
    <n v="619510.21"/>
    <n v="611555.15"/>
    <n v="679.50572222222229"/>
    <n v="619510.21"/>
    <n v="688.34467777777775"/>
    <m/>
    <m/>
    <n v="0"/>
    <n v="0"/>
    <m/>
    <m/>
    <m/>
    <m/>
    <m/>
    <m/>
    <m/>
    <m/>
    <n v="0"/>
    <n v="0"/>
    <n v="0"/>
    <n v="0"/>
    <n v="679.50572222222229"/>
    <n v="688.34467777777775"/>
  </r>
  <r>
    <x v="10"/>
    <s v="Tulsa Technology Center-Lemley Campus             "/>
    <m/>
    <n v="261375"/>
    <x v="10"/>
    <m/>
    <m/>
    <m/>
    <m/>
    <m/>
    <m/>
    <m/>
    <m/>
    <m/>
    <m/>
    <n v="0"/>
    <n v="0"/>
    <n v="0"/>
    <n v="0"/>
    <m/>
    <m/>
    <n v="0"/>
    <n v="0"/>
    <m/>
    <m/>
    <m/>
    <m/>
    <m/>
    <m/>
    <n v="828316.5"/>
    <n v="847545.18"/>
    <n v="828316.5"/>
    <n v="920.35166666666669"/>
    <n v="847545.18"/>
    <n v="941.71686666666676"/>
    <m/>
    <m/>
    <n v="0"/>
    <n v="0"/>
    <m/>
    <m/>
    <m/>
    <m/>
    <m/>
    <m/>
    <m/>
    <m/>
    <n v="0"/>
    <n v="0"/>
    <n v="0"/>
    <n v="0"/>
    <n v="920.35166666666669"/>
    <n v="941.71686666666676"/>
  </r>
  <r>
    <x v="10"/>
    <s v="Tulsa Technology Center-Riverside Campus          "/>
    <m/>
    <n v="261384"/>
    <x v="10"/>
    <m/>
    <m/>
    <m/>
    <m/>
    <m/>
    <m/>
    <m/>
    <m/>
    <m/>
    <m/>
    <n v="0"/>
    <n v="0"/>
    <n v="0"/>
    <n v="0"/>
    <m/>
    <m/>
    <n v="0"/>
    <n v="0"/>
    <m/>
    <m/>
    <m/>
    <m/>
    <m/>
    <m/>
    <n v="447680.5"/>
    <n v="435187.5"/>
    <n v="447680.5"/>
    <n v="497.42277777777775"/>
    <n v="435187.5"/>
    <n v="483.54166666666669"/>
    <m/>
    <m/>
    <n v="0"/>
    <n v="0"/>
    <m/>
    <m/>
    <m/>
    <m/>
    <m/>
    <m/>
    <m/>
    <m/>
    <n v="0"/>
    <n v="0"/>
    <n v="0"/>
    <n v="0"/>
    <n v="497.42277777777775"/>
    <n v="483.54166666666669"/>
  </r>
  <r>
    <x v="10"/>
    <s v="Wes Watkins Technology Center                     "/>
    <m/>
    <n v="418357"/>
    <x v="10"/>
    <m/>
    <m/>
    <m/>
    <m/>
    <m/>
    <m/>
    <m/>
    <m/>
    <m/>
    <m/>
    <n v="0"/>
    <n v="0"/>
    <n v="0"/>
    <n v="0"/>
    <m/>
    <m/>
    <n v="0"/>
    <n v="0"/>
    <m/>
    <m/>
    <m/>
    <m/>
    <m/>
    <m/>
    <n v="248702.25"/>
    <n v="203069"/>
    <n v="248702.25"/>
    <n v="276.33583333333331"/>
    <n v="203069"/>
    <n v="225.63222222222223"/>
    <m/>
    <m/>
    <n v="0"/>
    <n v="0"/>
    <m/>
    <m/>
    <m/>
    <m/>
    <m/>
    <m/>
    <m/>
    <m/>
    <n v="0"/>
    <n v="0"/>
    <n v="0"/>
    <n v="0"/>
    <n v="276.33583333333331"/>
    <n v="225.63222222222223"/>
  </r>
  <r>
    <x v="10"/>
    <s v="Western Technology Center                         "/>
    <m/>
    <n v="418302"/>
    <x v="10"/>
    <m/>
    <m/>
    <m/>
    <m/>
    <m/>
    <m/>
    <m/>
    <m/>
    <m/>
    <m/>
    <n v="0"/>
    <n v="0"/>
    <n v="0"/>
    <n v="0"/>
    <m/>
    <m/>
    <n v="0"/>
    <n v="0"/>
    <m/>
    <m/>
    <m/>
    <m/>
    <m/>
    <m/>
    <n v="416375"/>
    <n v="434095.55"/>
    <n v="416375"/>
    <n v="462.63888888888891"/>
    <n v="434095.55"/>
    <n v="482.32838888888887"/>
    <m/>
    <m/>
    <n v="0"/>
    <n v="0"/>
    <m/>
    <m/>
    <m/>
    <m/>
    <m/>
    <m/>
    <m/>
    <m/>
    <n v="0"/>
    <n v="0"/>
    <n v="0"/>
    <n v="0"/>
    <n v="462.63888888888891"/>
    <n v="482.32838888888887"/>
  </r>
  <r>
    <x v="11"/>
    <s v="Clemson University"/>
    <m/>
    <n v="217882"/>
    <x v="0"/>
    <s v="sem"/>
    <s v="sem"/>
    <m/>
    <m/>
    <n v="211690"/>
    <n v="215291"/>
    <n v="25069"/>
    <n v="24389"/>
    <n v="230633"/>
    <n v="236236"/>
    <n v="467392"/>
    <n v="15579.733333333334"/>
    <n v="475916"/>
    <n v="15863.866666666667"/>
    <m/>
    <m/>
    <n v="0"/>
    <n v="0"/>
    <m/>
    <m/>
    <m/>
    <m/>
    <m/>
    <m/>
    <m/>
    <m/>
    <n v="0"/>
    <n v="0"/>
    <n v="0"/>
    <n v="0"/>
    <m/>
    <m/>
    <n v="0"/>
    <n v="0"/>
    <m/>
    <m/>
    <n v="29173"/>
    <n v="30766"/>
    <n v="12143"/>
    <n v="12048"/>
    <n v="32473"/>
    <n v="34457"/>
    <n v="73789"/>
    <n v="3074.5416666666665"/>
    <n v="77271"/>
    <n v="3219.625"/>
    <n v="18654.275000000001"/>
    <n v="19083.491666666669"/>
  </r>
  <r>
    <x v="11"/>
    <s v="University of South Carolina-Columbia"/>
    <m/>
    <n v="218663"/>
    <x v="0"/>
    <s v="sem"/>
    <s v="sem"/>
    <m/>
    <m/>
    <n v="280963"/>
    <n v="297287"/>
    <n v="30954"/>
    <n v="32445"/>
    <n v="316953"/>
    <n v="332511"/>
    <n v="628870"/>
    <n v="20962.333333333332"/>
    <n v="662243"/>
    <n v="22074.766666666666"/>
    <n v="197"/>
    <n v="143"/>
    <n v="628870"/>
    <n v="662243"/>
    <m/>
    <m/>
    <m/>
    <m/>
    <m/>
    <m/>
    <m/>
    <m/>
    <n v="0"/>
    <n v="0"/>
    <n v="0"/>
    <n v="0"/>
    <m/>
    <m/>
    <n v="0"/>
    <n v="0"/>
    <m/>
    <m/>
    <n v="47447"/>
    <n v="50283"/>
    <n v="18373"/>
    <n v="18193"/>
    <n v="50739"/>
    <n v="49746"/>
    <n v="116559"/>
    <n v="4856.625"/>
    <n v="118222"/>
    <n v="4925.916666666667"/>
    <n v="25818.958333333332"/>
    <n v="27000.683333333334"/>
  </r>
  <r>
    <x v="11"/>
    <s v="College of Charleston"/>
    <m/>
    <n v="217819"/>
    <x v="2"/>
    <s v="sem"/>
    <s v="sem"/>
    <m/>
    <m/>
    <n v="137078"/>
    <n v="136212"/>
    <n v="13495"/>
    <n v="14126"/>
    <n v="144220"/>
    <n v="150084"/>
    <n v="294793"/>
    <n v="9826.4333333333325"/>
    <n v="300422"/>
    <n v="10014.066666666668"/>
    <n v="255"/>
    <n v="224"/>
    <n v="294793"/>
    <n v="300422"/>
    <m/>
    <m/>
    <m/>
    <m/>
    <m/>
    <m/>
    <m/>
    <m/>
    <n v="0"/>
    <n v="0"/>
    <n v="0"/>
    <n v="0"/>
    <m/>
    <m/>
    <n v="0"/>
    <n v="0"/>
    <m/>
    <m/>
    <n v="6593"/>
    <n v="7268"/>
    <n v="4546"/>
    <n v="5273"/>
    <n v="7089"/>
    <n v="6513"/>
    <n v="18228"/>
    <n v="759.5"/>
    <n v="19054"/>
    <n v="793.91666666666663"/>
    <n v="10585.933333333332"/>
    <n v="10807.983333333334"/>
  </r>
  <r>
    <x v="11"/>
    <s v="Winthrop University "/>
    <m/>
    <n v="218964"/>
    <x v="2"/>
    <s v="sem"/>
    <s v="sem"/>
    <m/>
    <m/>
    <n v="66324.5"/>
    <n v="65103"/>
    <n v="7445"/>
    <n v="8200"/>
    <n v="69817"/>
    <n v="69093"/>
    <n v="143586.5"/>
    <n v="4786.2166666666662"/>
    <n v="142396"/>
    <n v="4746.5333333333338"/>
    <n v="1206"/>
    <n v="1059"/>
    <n v="143586.5"/>
    <n v="142396"/>
    <m/>
    <m/>
    <m/>
    <m/>
    <m/>
    <m/>
    <m/>
    <m/>
    <n v="0"/>
    <n v="0"/>
    <n v="0"/>
    <n v="0"/>
    <m/>
    <m/>
    <n v="0"/>
    <n v="0"/>
    <m/>
    <m/>
    <n v="7365"/>
    <n v="7369"/>
    <n v="3871"/>
    <n v="3820"/>
    <n v="6923"/>
    <n v="7393"/>
    <n v="18159"/>
    <n v="756.625"/>
    <n v="18582"/>
    <n v="774.25"/>
    <n v="5542.8416666666662"/>
    <n v="5520.7833333333338"/>
  </r>
  <r>
    <x v="11"/>
    <s v="The Citadel, the Military College of South Carolina "/>
    <s v="Met the criteria for Four-Year 3 in 2011-12."/>
    <n v="217864"/>
    <x v="3"/>
    <s v="sem"/>
    <s v="sem"/>
    <m/>
    <m/>
    <n v="38139"/>
    <n v="39629"/>
    <n v="5626"/>
    <n v="5467"/>
    <n v="42111"/>
    <n v="42142"/>
    <n v="85876"/>
    <n v="2862.5333333333333"/>
    <n v="87238"/>
    <n v="2907.9333333333334"/>
    <n v="69"/>
    <n v="227"/>
    <n v="85876"/>
    <n v="87238"/>
    <m/>
    <m/>
    <m/>
    <m/>
    <m/>
    <m/>
    <m/>
    <m/>
    <n v="0"/>
    <n v="0"/>
    <n v="0"/>
    <n v="0"/>
    <m/>
    <m/>
    <n v="0"/>
    <n v="0"/>
    <m/>
    <m/>
    <n v="5727"/>
    <n v="5903"/>
    <n v="4212"/>
    <n v="4727"/>
    <n v="5563"/>
    <n v="5432"/>
    <n v="15502"/>
    <n v="645.91666666666663"/>
    <n v="16062"/>
    <n v="669.25"/>
    <n v="3508.45"/>
    <n v="3577.1833333333334"/>
  </r>
  <r>
    <x v="11"/>
    <s v="Coastal Carolina University"/>
    <m/>
    <n v="218724"/>
    <x v="4"/>
    <s v="sem"/>
    <s v="sem"/>
    <m/>
    <m/>
    <n v="104419"/>
    <n v="109295"/>
    <n v="10985"/>
    <n v="11181"/>
    <n v="121102"/>
    <n v="126828"/>
    <n v="236506"/>
    <n v="7883.5333333333338"/>
    <n v="247304"/>
    <n v="8243.4666666666672"/>
    <n v="320"/>
    <n v="93"/>
    <n v="236506"/>
    <n v="247304"/>
    <m/>
    <m/>
    <m/>
    <m/>
    <m/>
    <m/>
    <m/>
    <m/>
    <n v="0"/>
    <n v="0"/>
    <n v="0"/>
    <n v="0"/>
    <m/>
    <m/>
    <n v="0"/>
    <n v="0"/>
    <m/>
    <m/>
    <n v="2861"/>
    <n v="2631"/>
    <n v="3881"/>
    <n v="3454"/>
    <n v="2748"/>
    <n v="3183"/>
    <n v="9490"/>
    <n v="395.41666666666669"/>
    <n v="9268"/>
    <n v="386.16666666666669"/>
    <n v="8278.9500000000007"/>
    <n v="8629.6333333333332"/>
  </r>
  <r>
    <x v="11"/>
    <s v="Francis Marion University "/>
    <m/>
    <n v="218061"/>
    <x v="4"/>
    <s v="sem"/>
    <s v="sem"/>
    <m/>
    <m/>
    <n v="45870"/>
    <n v="47620"/>
    <n v="5748"/>
    <n v="5279"/>
    <n v="51685"/>
    <n v="52100"/>
    <n v="103303"/>
    <n v="3443.4333333333334"/>
    <n v="104999"/>
    <n v="3499.9666666666667"/>
    <n v="670"/>
    <n v="1603"/>
    <n v="103303"/>
    <n v="104999"/>
    <m/>
    <m/>
    <m/>
    <m/>
    <m/>
    <m/>
    <m/>
    <m/>
    <n v="0"/>
    <n v="0"/>
    <n v="0"/>
    <n v="0"/>
    <m/>
    <m/>
    <n v="0"/>
    <n v="0"/>
    <m/>
    <m/>
    <n v="1403"/>
    <n v="1272"/>
    <n v="1704"/>
    <n v="1828"/>
    <n v="1362"/>
    <n v="1867"/>
    <n v="4469"/>
    <n v="186.20833333333334"/>
    <n v="4967"/>
    <n v="206.95833333333334"/>
    <n v="3629.6416666666669"/>
    <n v="3706.9250000000002"/>
  </r>
  <r>
    <x v="11"/>
    <s v="South Carolina State University "/>
    <m/>
    <n v="218733"/>
    <x v="4"/>
    <s v="sem"/>
    <s v="sem"/>
    <m/>
    <m/>
    <n v="51274"/>
    <n v="50332"/>
    <n v="9475"/>
    <n v="7507"/>
    <n v="54425"/>
    <n v="54604"/>
    <n v="115174"/>
    <n v="3839.1333333333332"/>
    <n v="112443"/>
    <n v="3748.1"/>
    <m/>
    <m/>
    <n v="0"/>
    <n v="0"/>
    <m/>
    <m/>
    <m/>
    <m/>
    <m/>
    <m/>
    <m/>
    <m/>
    <n v="0"/>
    <n v="0"/>
    <n v="0"/>
    <n v="0"/>
    <m/>
    <m/>
    <n v="0"/>
    <n v="0"/>
    <m/>
    <m/>
    <n v="4488"/>
    <n v="4286"/>
    <n v="2307"/>
    <n v="1974"/>
    <n v="4280"/>
    <n v="4234"/>
    <n v="11075"/>
    <n v="461.45833333333331"/>
    <n v="10494"/>
    <n v="437.25"/>
    <n v="4300.5916666666662"/>
    <n v="4185.3500000000004"/>
  </r>
  <r>
    <x v="11"/>
    <s v="Lander University"/>
    <m/>
    <n v="218229"/>
    <x v="5"/>
    <s v="sem"/>
    <s v="sem"/>
    <m/>
    <m/>
    <n v="36674.5"/>
    <n v="38776"/>
    <n v="3857"/>
    <n v="4083"/>
    <n v="42265"/>
    <n v="42546"/>
    <n v="82796.5"/>
    <n v="2759.8833333333332"/>
    <n v="85405"/>
    <n v="2846.8333333333335"/>
    <n v="189"/>
    <n v="179"/>
    <n v="82796.5"/>
    <n v="85405"/>
    <m/>
    <m/>
    <m/>
    <m/>
    <m/>
    <m/>
    <m/>
    <m/>
    <n v="0"/>
    <n v="0"/>
    <n v="0"/>
    <n v="0"/>
    <m/>
    <m/>
    <n v="0"/>
    <n v="0"/>
    <m/>
    <m/>
    <n v="324"/>
    <n v="414"/>
    <n v="1128"/>
    <n v="1104"/>
    <n v="402"/>
    <n v="156"/>
    <n v="1854"/>
    <n v="77.25"/>
    <n v="1674"/>
    <n v="69.75"/>
    <n v="2837.1333333333332"/>
    <n v="2916.5833333333335"/>
  </r>
  <r>
    <x v="11"/>
    <s v="University of South Carolina-Aiken"/>
    <m/>
    <n v="218645"/>
    <x v="5"/>
    <s v="sem"/>
    <s v="sem"/>
    <m/>
    <m/>
    <n v="37841"/>
    <n v="37961"/>
    <n v="4728"/>
    <n v="5294"/>
    <n v="41995"/>
    <n v="41204"/>
    <n v="84564"/>
    <n v="2818.8"/>
    <n v="84459"/>
    <n v="2815.3"/>
    <n v="613"/>
    <n v="641"/>
    <n v="84564"/>
    <n v="84459"/>
    <m/>
    <m/>
    <m/>
    <m/>
    <m/>
    <m/>
    <m/>
    <m/>
    <n v="0"/>
    <n v="0"/>
    <n v="0"/>
    <n v="0"/>
    <m/>
    <m/>
    <n v="0"/>
    <n v="0"/>
    <m/>
    <m/>
    <n v="472"/>
    <n v="391"/>
    <n v="299"/>
    <n v="356"/>
    <n v="421"/>
    <n v="475"/>
    <n v="1192"/>
    <n v="49.666666666666664"/>
    <n v="1222"/>
    <n v="50.916666666666664"/>
    <n v="2868.4666666666667"/>
    <n v="2866.2166666666667"/>
  </r>
  <r>
    <x v="11"/>
    <s v="University of South Carolina-Beaufort"/>
    <m/>
    <n v="218654"/>
    <x v="5"/>
    <s v="sem"/>
    <s v="sem"/>
    <m/>
    <m/>
    <n v="20131"/>
    <n v="21353"/>
    <n v="2808"/>
    <n v="2922"/>
    <n v="22775"/>
    <n v="23892"/>
    <n v="45714"/>
    <n v="1523.8"/>
    <n v="48167"/>
    <n v="1605.5666666666666"/>
    <n v="56"/>
    <n v="70"/>
    <n v="45714"/>
    <n v="48167"/>
    <m/>
    <m/>
    <m/>
    <m/>
    <m/>
    <m/>
    <m/>
    <m/>
    <n v="0"/>
    <n v="0"/>
    <n v="0"/>
    <n v="0"/>
    <m/>
    <m/>
    <n v="0"/>
    <n v="0"/>
    <m/>
    <m/>
    <m/>
    <m/>
    <m/>
    <m/>
    <m/>
    <m/>
    <n v="0"/>
    <n v="0"/>
    <n v="0"/>
    <n v="0"/>
    <n v="1523.8"/>
    <n v="1605.5666666666666"/>
  </r>
  <r>
    <x v="11"/>
    <s v="University of South Carolina-Upstate"/>
    <m/>
    <n v="218742"/>
    <x v="5"/>
    <s v="sem"/>
    <s v="sem"/>
    <m/>
    <m/>
    <n v="66792"/>
    <n v="68592"/>
    <n v="7916"/>
    <n v="8352"/>
    <n v="73882"/>
    <n v="72853"/>
    <n v="148590"/>
    <n v="4953"/>
    <n v="149797"/>
    <n v="4993.2333333333336"/>
    <n v="1790"/>
    <n v="2028"/>
    <n v="148590"/>
    <n v="149797"/>
    <m/>
    <m/>
    <m/>
    <m/>
    <m/>
    <m/>
    <m/>
    <m/>
    <n v="0"/>
    <n v="0"/>
    <n v="0"/>
    <n v="0"/>
    <m/>
    <m/>
    <n v="0"/>
    <n v="0"/>
    <m/>
    <m/>
    <n v="481"/>
    <n v="526"/>
    <n v="621"/>
    <n v="503"/>
    <n v="249"/>
    <n v="328"/>
    <n v="1351"/>
    <n v="56.291666666666664"/>
    <n v="1357"/>
    <n v="56.541666666666664"/>
    <n v="5009.291666666667"/>
    <n v="5049.7750000000005"/>
  </r>
  <r>
    <x v="11"/>
    <s v="Greenville Technical College "/>
    <m/>
    <n v="218113"/>
    <x v="6"/>
    <s v="sem"/>
    <s v="sem"/>
    <m/>
    <m/>
    <n v="155095"/>
    <n v="148927.34999999998"/>
    <n v="62610"/>
    <n v="56767.560000000005"/>
    <n v="160159"/>
    <n v="152072.21"/>
    <n v="377864"/>
    <n v="12595.466666666667"/>
    <n v="357767.12"/>
    <n v="11925.570666666667"/>
    <n v="7883"/>
    <n v="10314"/>
    <n v="377864"/>
    <n v="357767.12"/>
    <m/>
    <m/>
    <m/>
    <m/>
    <m/>
    <m/>
    <m/>
    <m/>
    <n v="0"/>
    <n v="0"/>
    <n v="0"/>
    <n v="0"/>
    <m/>
    <m/>
    <n v="0"/>
    <n v="0"/>
    <m/>
    <m/>
    <m/>
    <m/>
    <m/>
    <m/>
    <m/>
    <m/>
    <n v="0"/>
    <n v="0"/>
    <n v="0"/>
    <n v="0"/>
    <n v="12595.466666666667"/>
    <n v="11925.570666666667"/>
  </r>
  <r>
    <x v="11"/>
    <s v="Horry-Georgetown Technical College "/>
    <s v="Reclassified: Met the criteria for Two-year 1 in 2009-10, 2010-11, and 2011-12."/>
    <n v="218140"/>
    <x v="6"/>
    <s v="sem"/>
    <s v="sem"/>
    <m/>
    <m/>
    <n v="75879"/>
    <n v="75067.030000000013"/>
    <n v="28323"/>
    <n v="27859.530000000002"/>
    <n v="77162"/>
    <n v="75063.459999999992"/>
    <n v="181364"/>
    <n v="6045.4666666666662"/>
    <n v="177990.02000000002"/>
    <n v="5933.0006666666677"/>
    <n v="3931"/>
    <n v="5201"/>
    <n v="181364"/>
    <n v="177990.02000000002"/>
    <m/>
    <m/>
    <m/>
    <m/>
    <m/>
    <m/>
    <m/>
    <m/>
    <n v="0"/>
    <n v="0"/>
    <n v="0"/>
    <n v="0"/>
    <m/>
    <m/>
    <n v="0"/>
    <n v="0"/>
    <m/>
    <m/>
    <m/>
    <m/>
    <m/>
    <m/>
    <m/>
    <m/>
    <n v="0"/>
    <n v="0"/>
    <n v="0"/>
    <n v="0"/>
    <n v="6045.4666666666662"/>
    <n v="5933.0006666666677"/>
  </r>
  <r>
    <x v="11"/>
    <s v="Midlands Technical College "/>
    <m/>
    <n v="218353"/>
    <x v="6"/>
    <s v="sem"/>
    <s v="sem"/>
    <m/>
    <m/>
    <n v="123089"/>
    <n v="119033.01"/>
    <n v="56900"/>
    <n v="54145.53"/>
    <n v="129479"/>
    <n v="131242.36000000002"/>
    <n v="309468"/>
    <n v="10315.6"/>
    <n v="304420.90000000002"/>
    <n v="10147.363333333335"/>
    <n v="1411"/>
    <n v="1287"/>
    <n v="309468"/>
    <n v="304420.90000000002"/>
    <m/>
    <m/>
    <m/>
    <m/>
    <m/>
    <m/>
    <m/>
    <m/>
    <n v="0"/>
    <n v="0"/>
    <n v="0"/>
    <n v="0"/>
    <m/>
    <m/>
    <n v="0"/>
    <n v="0"/>
    <m/>
    <m/>
    <m/>
    <m/>
    <m/>
    <m/>
    <m/>
    <m/>
    <n v="0"/>
    <n v="0"/>
    <n v="0"/>
    <n v="0"/>
    <n v="10315.6"/>
    <n v="10147.363333333335"/>
  </r>
  <r>
    <x v="11"/>
    <s v="Tri-County Technical College "/>
    <s v="Reclassified: Met the criteria for Two-year 1 in 2009-10, 2010-11, and 2011-12."/>
    <n v="218885"/>
    <x v="6"/>
    <s v="sem"/>
    <s v="sem"/>
    <m/>
    <m/>
    <n v="73615"/>
    <n v="74788.17"/>
    <n v="27609"/>
    <n v="28096.77"/>
    <n v="81583"/>
    <n v="79476.34"/>
    <n v="182807"/>
    <n v="6093.5666666666666"/>
    <n v="182361.28"/>
    <n v="6078.7093333333332"/>
    <n v="5457"/>
    <n v="5385"/>
    <n v="182807"/>
    <n v="182361.28"/>
    <m/>
    <m/>
    <m/>
    <m/>
    <m/>
    <m/>
    <m/>
    <m/>
    <n v="0"/>
    <n v="0"/>
    <n v="0"/>
    <n v="0"/>
    <m/>
    <m/>
    <n v="0"/>
    <n v="0"/>
    <m/>
    <m/>
    <m/>
    <m/>
    <m/>
    <m/>
    <m/>
    <m/>
    <n v="0"/>
    <n v="0"/>
    <n v="0"/>
    <n v="0"/>
    <n v="6093.5666666666666"/>
    <n v="6078.7093333333332"/>
  </r>
  <r>
    <x v="11"/>
    <s v="Trident Technical College "/>
    <m/>
    <n v="218894"/>
    <x v="6"/>
    <s v="sem"/>
    <s v="sem"/>
    <m/>
    <m/>
    <n v="147296"/>
    <n v="153372.26999999999"/>
    <n v="73125"/>
    <n v="76076.94"/>
    <n v="157759"/>
    <n v="166684.25999999998"/>
    <n v="378180"/>
    <n v="12606"/>
    <n v="396133.47"/>
    <n v="13204.448999999999"/>
    <n v="7364"/>
    <n v="7716"/>
    <n v="378180"/>
    <n v="396133.47"/>
    <m/>
    <m/>
    <m/>
    <m/>
    <m/>
    <m/>
    <m/>
    <m/>
    <n v="0"/>
    <n v="0"/>
    <n v="0"/>
    <n v="0"/>
    <m/>
    <m/>
    <n v="0"/>
    <n v="0"/>
    <m/>
    <m/>
    <m/>
    <m/>
    <m/>
    <m/>
    <m/>
    <m/>
    <n v="0"/>
    <n v="0"/>
    <n v="0"/>
    <n v="0"/>
    <n v="12606"/>
    <n v="13204.448999999999"/>
  </r>
  <r>
    <x v="11"/>
    <s v="Aiken Technical College "/>
    <m/>
    <n v="217615"/>
    <x v="7"/>
    <s v="sem"/>
    <s v="sem"/>
    <m/>
    <m/>
    <n v="33634"/>
    <n v="32334.39"/>
    <n v="14576"/>
    <n v="11698.03"/>
    <n v="34972"/>
    <n v="34484.67"/>
    <n v="83182"/>
    <n v="2772.7333333333331"/>
    <n v="78517.09"/>
    <n v="2617.2363333333333"/>
    <n v="409"/>
    <n v="580"/>
    <n v="83182"/>
    <n v="78517.09"/>
    <m/>
    <m/>
    <m/>
    <m/>
    <m/>
    <m/>
    <m/>
    <m/>
    <n v="0"/>
    <n v="0"/>
    <n v="0"/>
    <n v="0"/>
    <m/>
    <m/>
    <n v="0"/>
    <n v="0"/>
    <m/>
    <m/>
    <m/>
    <m/>
    <m/>
    <m/>
    <m/>
    <m/>
    <n v="0"/>
    <n v="0"/>
    <n v="0"/>
    <n v="0"/>
    <n v="2772.7333333333331"/>
    <n v="2617.2363333333333"/>
  </r>
  <r>
    <x v="11"/>
    <s v="Central Carolina Technical College "/>
    <m/>
    <n v="218858"/>
    <x v="7"/>
    <s v="sem"/>
    <s v="sem"/>
    <m/>
    <m/>
    <n v="37893"/>
    <n v="37693.81"/>
    <n v="18427"/>
    <n v="17233.2"/>
    <n v="40584"/>
    <n v="41682.21"/>
    <n v="96904"/>
    <n v="3230.1333333333332"/>
    <n v="96609.22"/>
    <n v="3220.3073333333332"/>
    <n v="2965"/>
    <n v="2965"/>
    <n v="96904"/>
    <n v="96609.22"/>
    <m/>
    <m/>
    <m/>
    <m/>
    <m/>
    <m/>
    <m/>
    <m/>
    <n v="0"/>
    <n v="0"/>
    <n v="0"/>
    <n v="0"/>
    <m/>
    <m/>
    <n v="0"/>
    <n v="0"/>
    <m/>
    <m/>
    <m/>
    <m/>
    <m/>
    <m/>
    <m/>
    <m/>
    <n v="0"/>
    <n v="0"/>
    <n v="0"/>
    <n v="0"/>
    <n v="3230.1333333333332"/>
    <n v="3220.3073333333332"/>
  </r>
  <r>
    <x v="11"/>
    <s v="Florence-Darlington Technical College "/>
    <s v="Met the criteria for Two-year 1 in 2010-11 and 2011-12."/>
    <n v="218025"/>
    <x v="7"/>
    <s v="sem"/>
    <s v="sem"/>
    <m/>
    <m/>
    <n v="60325"/>
    <n v="62769.43"/>
    <n v="26603"/>
    <n v="26266.17"/>
    <n v="66526"/>
    <n v="66154.420000000013"/>
    <n v="153454"/>
    <n v="5115.1333333333332"/>
    <n v="155190.02000000002"/>
    <n v="5173.0006666666677"/>
    <n v="874"/>
    <n v="883"/>
    <n v="153454"/>
    <n v="155190.02000000002"/>
    <m/>
    <m/>
    <m/>
    <m/>
    <m/>
    <m/>
    <m/>
    <m/>
    <n v="0"/>
    <n v="0"/>
    <n v="0"/>
    <n v="0"/>
    <m/>
    <m/>
    <n v="0"/>
    <n v="0"/>
    <m/>
    <m/>
    <m/>
    <m/>
    <m/>
    <m/>
    <m/>
    <m/>
    <n v="0"/>
    <n v="0"/>
    <n v="0"/>
    <n v="0"/>
    <n v="5115.1333333333332"/>
    <n v="5173.0006666666677"/>
  </r>
  <r>
    <x v="11"/>
    <s v="Orangeburg-Calhoun Technical College "/>
    <m/>
    <n v="218487"/>
    <x v="7"/>
    <s v="sem"/>
    <s v="sem"/>
    <m/>
    <m/>
    <n v="30728"/>
    <n v="29415.019999999997"/>
    <n v="12816"/>
    <n v="12361.019999999999"/>
    <n v="33419"/>
    <n v="29616.820000000003"/>
    <n v="76963"/>
    <n v="2565.4333333333334"/>
    <n v="71392.86"/>
    <n v="2379.7620000000002"/>
    <n v="4197"/>
    <n v="5214"/>
    <n v="76963"/>
    <n v="71392.86"/>
    <m/>
    <m/>
    <m/>
    <m/>
    <m/>
    <m/>
    <m/>
    <m/>
    <n v="0"/>
    <n v="0"/>
    <n v="0"/>
    <n v="0"/>
    <m/>
    <m/>
    <n v="0"/>
    <n v="0"/>
    <m/>
    <m/>
    <m/>
    <m/>
    <m/>
    <m/>
    <m/>
    <m/>
    <n v="0"/>
    <n v="0"/>
    <n v="0"/>
    <n v="0"/>
    <n v="2565.4333333333334"/>
    <n v="2379.7620000000002"/>
  </r>
  <r>
    <x v="11"/>
    <s v="Piedmont Technical College "/>
    <s v="Met the criteria for Two-year 1 in 2010-11 and 2011-12."/>
    <n v="218520"/>
    <x v="7"/>
    <s v="sem"/>
    <s v="sem"/>
    <m/>
    <m/>
    <n v="60582"/>
    <n v="56429.969999999994"/>
    <n v="30180"/>
    <n v="29623.039999999997"/>
    <n v="65274"/>
    <n v="65603.86"/>
    <n v="156036"/>
    <n v="5201.2"/>
    <n v="151656.87"/>
    <n v="5055.2290000000003"/>
    <n v="7655"/>
    <n v="10116"/>
    <n v="156036"/>
    <n v="151656.87"/>
    <m/>
    <m/>
    <m/>
    <m/>
    <m/>
    <m/>
    <m/>
    <m/>
    <n v="0"/>
    <n v="0"/>
    <n v="0"/>
    <n v="0"/>
    <m/>
    <m/>
    <n v="0"/>
    <n v="0"/>
    <m/>
    <m/>
    <m/>
    <m/>
    <m/>
    <m/>
    <m/>
    <m/>
    <n v="0"/>
    <n v="0"/>
    <n v="0"/>
    <n v="0"/>
    <n v="5201.2"/>
    <n v="5055.2290000000003"/>
  </r>
  <r>
    <x v="11"/>
    <s v="Spartanburg Community College "/>
    <m/>
    <n v="218830"/>
    <x v="7"/>
    <s v="sem"/>
    <s v="sem"/>
    <m/>
    <m/>
    <n v="60296"/>
    <n v="59062.23"/>
    <n v="26081"/>
    <n v="24762.95"/>
    <n v="64311"/>
    <n v="61544.94"/>
    <n v="150688"/>
    <n v="5022.9333333333334"/>
    <n v="145370.12"/>
    <n v="4845.6706666666669"/>
    <n v="4261"/>
    <n v="4306"/>
    <n v="150688"/>
    <n v="145370.12"/>
    <m/>
    <m/>
    <m/>
    <m/>
    <m/>
    <m/>
    <m/>
    <m/>
    <n v="0"/>
    <n v="0"/>
    <n v="0"/>
    <n v="0"/>
    <m/>
    <m/>
    <n v="0"/>
    <n v="0"/>
    <m/>
    <m/>
    <m/>
    <m/>
    <m/>
    <m/>
    <m/>
    <m/>
    <n v="0"/>
    <n v="0"/>
    <n v="0"/>
    <n v="0"/>
    <n v="5022.9333333333334"/>
    <n v="4845.6706666666669"/>
  </r>
  <r>
    <x v="11"/>
    <s v="York Technical College "/>
    <m/>
    <n v="218991"/>
    <x v="7"/>
    <s v="sem"/>
    <s v="sem"/>
    <m/>
    <m/>
    <n v="61701"/>
    <n v="58380.35"/>
    <n v="29490"/>
    <n v="25935.54"/>
    <n v="65962"/>
    <n v="58007.85"/>
    <n v="157153"/>
    <n v="5238.4333333333334"/>
    <n v="142323.74"/>
    <n v="4744.1246666666666"/>
    <n v="6942"/>
    <n v="6061"/>
    <n v="157153"/>
    <n v="142323.74"/>
    <m/>
    <m/>
    <m/>
    <m/>
    <m/>
    <m/>
    <m/>
    <m/>
    <n v="0"/>
    <n v="0"/>
    <n v="0"/>
    <n v="0"/>
    <m/>
    <m/>
    <n v="0"/>
    <n v="0"/>
    <m/>
    <m/>
    <m/>
    <m/>
    <m/>
    <m/>
    <m/>
    <m/>
    <n v="0"/>
    <n v="0"/>
    <n v="0"/>
    <n v="0"/>
    <n v="5238.4333333333334"/>
    <n v="4744.1246666666666"/>
  </r>
  <r>
    <x v="11"/>
    <s v="Denmark Technical College "/>
    <m/>
    <n v="217989"/>
    <x v="8"/>
    <s v="sem"/>
    <s v="sem"/>
    <m/>
    <m/>
    <n v="17192"/>
    <n v="11987"/>
    <n v="5273"/>
    <n v="3736.42"/>
    <n v="13967"/>
    <n v="22499.91"/>
    <n v="36432"/>
    <n v="1214.4000000000001"/>
    <n v="38223.33"/>
    <n v="1274.1110000000001"/>
    <m/>
    <m/>
    <n v="0"/>
    <n v="0"/>
    <m/>
    <m/>
    <m/>
    <m/>
    <m/>
    <m/>
    <m/>
    <m/>
    <n v="0"/>
    <n v="0"/>
    <n v="0"/>
    <n v="0"/>
    <m/>
    <m/>
    <n v="0"/>
    <n v="0"/>
    <m/>
    <m/>
    <m/>
    <m/>
    <m/>
    <m/>
    <m/>
    <m/>
    <n v="0"/>
    <n v="0"/>
    <n v="0"/>
    <n v="0"/>
    <n v="1214.4000000000001"/>
    <n v="1274.1110000000001"/>
  </r>
  <r>
    <x v="11"/>
    <s v="Northeastern Technical College "/>
    <m/>
    <n v="217837"/>
    <x v="8"/>
    <s v="sem"/>
    <s v="sem"/>
    <m/>
    <m/>
    <n v="12583"/>
    <n v="13200.18"/>
    <n v="6944"/>
    <n v="6317.71"/>
    <n v="14463"/>
    <n v="14675.9"/>
    <n v="33990"/>
    <n v="1133"/>
    <n v="34193.79"/>
    <n v="1139.7930000000001"/>
    <n v="1154"/>
    <n v="1077"/>
    <n v="33990"/>
    <n v="34193.79"/>
    <m/>
    <m/>
    <m/>
    <m/>
    <m/>
    <m/>
    <m/>
    <m/>
    <n v="0"/>
    <n v="0"/>
    <n v="0"/>
    <n v="0"/>
    <m/>
    <m/>
    <n v="0"/>
    <n v="0"/>
    <m/>
    <m/>
    <m/>
    <m/>
    <m/>
    <m/>
    <m/>
    <m/>
    <n v="0"/>
    <n v="0"/>
    <n v="0"/>
    <n v="0"/>
    <n v="1133"/>
    <n v="1139.7930000000001"/>
  </r>
  <r>
    <x v="11"/>
    <s v="Technical College of the Lowcountry"/>
    <s v="Met the criteria for Two-Year 2 in 2011-12."/>
    <n v="217712"/>
    <x v="8"/>
    <s v="sem"/>
    <s v="sem"/>
    <m/>
    <m/>
    <n v="26215"/>
    <n v="26277.49"/>
    <n v="12288"/>
    <n v="12049.68"/>
    <n v="27625"/>
    <n v="25182.799999999996"/>
    <n v="66128"/>
    <n v="2204.2666666666669"/>
    <n v="63509.969999999994"/>
    <n v="2116.9989999999998"/>
    <n v="2226"/>
    <n v="3230"/>
    <n v="66128"/>
    <n v="63509.969999999994"/>
    <m/>
    <m/>
    <m/>
    <m/>
    <m/>
    <m/>
    <m/>
    <m/>
    <n v="0"/>
    <n v="0"/>
    <n v="0"/>
    <n v="0"/>
    <m/>
    <m/>
    <n v="0"/>
    <n v="0"/>
    <m/>
    <m/>
    <m/>
    <m/>
    <m/>
    <m/>
    <m/>
    <m/>
    <n v="0"/>
    <n v="0"/>
    <n v="0"/>
    <n v="0"/>
    <n v="2204.2666666666669"/>
    <n v="2116.9989999999998"/>
  </r>
  <r>
    <x v="11"/>
    <s v="University of South Carolina-Lancaster"/>
    <m/>
    <n v="218672"/>
    <x v="8"/>
    <s v="sem"/>
    <s v="sem"/>
    <m/>
    <m/>
    <n v="15332"/>
    <n v="15347"/>
    <n v="2472"/>
    <n v="2302"/>
    <n v="17143"/>
    <n v="18890"/>
    <n v="34947"/>
    <n v="1164.9000000000001"/>
    <n v="36539"/>
    <n v="1217.9666666666667"/>
    <n v="2449"/>
    <n v="3394"/>
    <n v="34947"/>
    <n v="36539"/>
    <m/>
    <m/>
    <m/>
    <m/>
    <m/>
    <m/>
    <m/>
    <m/>
    <n v="0"/>
    <n v="0"/>
    <n v="0"/>
    <n v="0"/>
    <m/>
    <m/>
    <n v="0"/>
    <n v="0"/>
    <m/>
    <m/>
    <m/>
    <m/>
    <m/>
    <m/>
    <m/>
    <m/>
    <n v="0"/>
    <n v="0"/>
    <n v="0"/>
    <n v="0"/>
    <n v="1164.9000000000001"/>
    <n v="1217.9666666666667"/>
  </r>
  <r>
    <x v="11"/>
    <s v="University of South Carolina-Salkehatchie"/>
    <m/>
    <n v="218681"/>
    <x v="8"/>
    <s v="sem"/>
    <s v="sem"/>
    <m/>
    <m/>
    <n v="9527"/>
    <n v="11479"/>
    <n v="1001"/>
    <n v="1205"/>
    <n v="11453"/>
    <n v="11380"/>
    <n v="21981"/>
    <n v="732.7"/>
    <n v="24064"/>
    <n v="802.13333333333333"/>
    <n v="1282"/>
    <n v="1403"/>
    <n v="21981"/>
    <n v="24064"/>
    <m/>
    <m/>
    <m/>
    <m/>
    <m/>
    <m/>
    <m/>
    <m/>
    <n v="0"/>
    <n v="0"/>
    <n v="0"/>
    <n v="0"/>
    <m/>
    <m/>
    <n v="0"/>
    <n v="0"/>
    <m/>
    <m/>
    <m/>
    <m/>
    <m/>
    <m/>
    <m/>
    <m/>
    <n v="0"/>
    <n v="0"/>
    <n v="0"/>
    <n v="0"/>
    <n v="732.7"/>
    <n v="802.13333333333333"/>
  </r>
  <r>
    <x v="11"/>
    <s v="University of South Carolina-Sumter"/>
    <m/>
    <n v="218690"/>
    <x v="8"/>
    <s v="sem"/>
    <s v="sem"/>
    <m/>
    <m/>
    <n v="11691"/>
    <n v="11564"/>
    <n v="1518"/>
    <n v="1439"/>
    <n v="13166"/>
    <n v="11625"/>
    <n v="26375"/>
    <n v="879.16666666666663"/>
    <n v="24628"/>
    <n v="820.93333333333328"/>
    <n v="3007"/>
    <n v="3081"/>
    <n v="26375"/>
    <n v="24628"/>
    <m/>
    <m/>
    <m/>
    <m/>
    <m/>
    <m/>
    <m/>
    <m/>
    <n v="0"/>
    <n v="0"/>
    <n v="0"/>
    <n v="0"/>
    <m/>
    <m/>
    <n v="0"/>
    <n v="0"/>
    <m/>
    <m/>
    <m/>
    <m/>
    <m/>
    <m/>
    <m/>
    <m/>
    <n v="0"/>
    <n v="0"/>
    <n v="0"/>
    <n v="0"/>
    <n v="879.16666666666663"/>
    <n v="820.93333333333328"/>
  </r>
  <r>
    <x v="11"/>
    <s v="University of South Carolina-Union"/>
    <m/>
    <n v="218706"/>
    <x v="8"/>
    <s v="sem"/>
    <s v="sem"/>
    <m/>
    <m/>
    <n v="4707"/>
    <n v="5960"/>
    <n v="575"/>
    <n v="559"/>
    <n v="5392"/>
    <n v="5014"/>
    <n v="10674"/>
    <n v="355.8"/>
    <n v="11533"/>
    <n v="384.43333333333334"/>
    <n v="2643"/>
    <n v="3503"/>
    <n v="10674"/>
    <n v="11533"/>
    <m/>
    <m/>
    <m/>
    <m/>
    <m/>
    <m/>
    <m/>
    <m/>
    <n v="0"/>
    <n v="0"/>
    <n v="0"/>
    <n v="0"/>
    <m/>
    <m/>
    <n v="0"/>
    <n v="0"/>
    <m/>
    <m/>
    <m/>
    <m/>
    <m/>
    <m/>
    <m/>
    <m/>
    <n v="0"/>
    <n v="0"/>
    <n v="0"/>
    <n v="0"/>
    <n v="355.8"/>
    <n v="384.43333333333334"/>
  </r>
  <r>
    <x v="11"/>
    <s v="Willamsburg Technical College "/>
    <m/>
    <n v="218955"/>
    <x v="8"/>
    <s v="sem"/>
    <s v="sem"/>
    <m/>
    <m/>
    <n v="7733"/>
    <n v="6513.01"/>
    <n v="4432"/>
    <n v="3810.52"/>
    <n v="7254"/>
    <n v="6284.96"/>
    <n v="19419"/>
    <n v="647.29999999999995"/>
    <n v="16608.490000000002"/>
    <n v="553.61633333333339"/>
    <n v="363"/>
    <n v="165"/>
    <n v="19419"/>
    <n v="16608.490000000002"/>
    <m/>
    <m/>
    <m/>
    <m/>
    <m/>
    <m/>
    <m/>
    <m/>
    <n v="0"/>
    <n v="0"/>
    <n v="0"/>
    <n v="0"/>
    <m/>
    <m/>
    <n v="0"/>
    <n v="0"/>
    <m/>
    <m/>
    <m/>
    <m/>
    <m/>
    <m/>
    <m/>
    <m/>
    <n v="0"/>
    <n v="0"/>
    <n v="0"/>
    <n v="0"/>
    <n v="647.29999999999995"/>
    <n v="553.61633333333339"/>
  </r>
  <r>
    <x v="12"/>
    <s v="University of Memphis"/>
    <m/>
    <n v="220862"/>
    <x v="0"/>
    <s v="sem"/>
    <s v="sem"/>
    <m/>
    <m/>
    <n v="189752"/>
    <n v="200974"/>
    <n v="29485"/>
    <n v="30227"/>
    <n v="213057"/>
    <n v="216891"/>
    <n v="432294"/>
    <n v="14409.8"/>
    <n v="448092"/>
    <n v="14936.4"/>
    <m/>
    <m/>
    <n v="0"/>
    <n v="0"/>
    <m/>
    <m/>
    <m/>
    <m/>
    <m/>
    <m/>
    <m/>
    <m/>
    <n v="0"/>
    <n v="0"/>
    <n v="0"/>
    <n v="0"/>
    <m/>
    <m/>
    <n v="0"/>
    <n v="0"/>
    <m/>
    <m/>
    <n v="38113"/>
    <n v="39257"/>
    <n v="9126"/>
    <n v="8077"/>
    <n v="39983"/>
    <n v="39175"/>
    <n v="87222"/>
    <n v="3634.25"/>
    <n v="86509"/>
    <n v="3604.5416666666665"/>
    <n v="18044.05"/>
    <n v="18540.941666666666"/>
  </r>
  <r>
    <x v="12"/>
    <s v="University of Tennessee, Knoxville"/>
    <m/>
    <n v="221759"/>
    <x v="0"/>
    <s v="sem"/>
    <s v="sem"/>
    <m/>
    <m/>
    <n v="278467"/>
    <n v="223012"/>
    <n v="37625"/>
    <n v="32903"/>
    <n v="289785"/>
    <n v="281570"/>
    <n v="605877"/>
    <n v="20195.900000000001"/>
    <n v="537485"/>
    <n v="17916.166666666668"/>
    <m/>
    <m/>
    <n v="0"/>
    <n v="0"/>
    <m/>
    <m/>
    <m/>
    <m/>
    <m/>
    <m/>
    <m/>
    <m/>
    <n v="0"/>
    <n v="0"/>
    <n v="0"/>
    <n v="0"/>
    <m/>
    <m/>
    <n v="0"/>
    <n v="0"/>
    <m/>
    <m/>
    <n v="48344"/>
    <n v="38779"/>
    <n v="18678"/>
    <n v="17488"/>
    <n v="53738"/>
    <n v="50880"/>
    <n v="120760"/>
    <n v="5031.666666666667"/>
    <n v="107147"/>
    <n v="4464.458333333333"/>
    <n v="25227.566666666669"/>
    <n v="22380.625"/>
  </r>
  <r>
    <x v="12"/>
    <s v="Tennessee State University "/>
    <s v="Reclassified: Met the criteria for Four-Year 2 in 2009-10, 2010-11, and 2011-12."/>
    <n v="221838"/>
    <x v="1"/>
    <s v="sem"/>
    <s v="sem"/>
    <m/>
    <m/>
    <n v="84107"/>
    <n v="82054"/>
    <n v="12307"/>
    <n v="14911"/>
    <n v="88332"/>
    <n v="88692"/>
    <n v="184746"/>
    <n v="6158.2"/>
    <n v="185657"/>
    <n v="6188.5666666666666"/>
    <m/>
    <m/>
    <n v="0"/>
    <n v="0"/>
    <m/>
    <m/>
    <m/>
    <m/>
    <m/>
    <m/>
    <m/>
    <m/>
    <n v="0"/>
    <n v="0"/>
    <n v="0"/>
    <n v="0"/>
    <m/>
    <m/>
    <n v="0"/>
    <n v="0"/>
    <m/>
    <m/>
    <n v="13986"/>
    <n v="14601"/>
    <n v="6435"/>
    <n v="6421"/>
    <n v="15044"/>
    <n v="14953"/>
    <n v="35465"/>
    <n v="1477.7083333333333"/>
    <n v="35975"/>
    <n v="1498.9583333333333"/>
    <n v="7635.9083333333328"/>
    <n v="7687.5249999999996"/>
  </r>
  <r>
    <x v="12"/>
    <s v="Austin Peay State University "/>
    <m/>
    <n v="219602"/>
    <x v="2"/>
    <s v="sem"/>
    <s v="sem"/>
    <m/>
    <m/>
    <n v="98062"/>
    <n v="103833"/>
    <n v="20624"/>
    <n v="22046"/>
    <n v="119686"/>
    <n v="120070"/>
    <n v="238372"/>
    <n v="7945.7333333333336"/>
    <n v="245949"/>
    <n v="8198.2999999999993"/>
    <n v="1251"/>
    <n v="1577"/>
    <n v="238372"/>
    <n v="245949"/>
    <m/>
    <m/>
    <m/>
    <m/>
    <m/>
    <m/>
    <m/>
    <m/>
    <n v="0"/>
    <n v="0"/>
    <n v="0"/>
    <n v="0"/>
    <m/>
    <m/>
    <n v="0"/>
    <n v="0"/>
    <m/>
    <m/>
    <n v="5670"/>
    <n v="6298"/>
    <n v="2633"/>
    <n v="2721"/>
    <n v="6163"/>
    <n v="6096"/>
    <n v="14466"/>
    <n v="602.75"/>
    <n v="15115"/>
    <n v="629.79166666666663"/>
    <n v="8548.4833333333336"/>
    <n v="8828.0916666666653"/>
  </r>
  <r>
    <x v="12"/>
    <s v="East Tennessee State University "/>
    <m/>
    <n v="220075"/>
    <x v="2"/>
    <s v="sem"/>
    <s v="sem"/>
    <m/>
    <m/>
    <n v="141732"/>
    <n v="148311"/>
    <n v="23485"/>
    <n v="24097"/>
    <n v="160600"/>
    <n v="164764"/>
    <n v="325817"/>
    <n v="10860.566666666668"/>
    <n v="337172"/>
    <n v="11239.066666666668"/>
    <m/>
    <m/>
    <n v="0"/>
    <n v="0"/>
    <m/>
    <m/>
    <m/>
    <m/>
    <m/>
    <m/>
    <m/>
    <m/>
    <n v="0"/>
    <n v="0"/>
    <n v="0"/>
    <n v="0"/>
    <m/>
    <m/>
    <n v="0"/>
    <n v="0"/>
    <m/>
    <m/>
    <n v="16973"/>
    <n v="16849"/>
    <n v="7104"/>
    <n v="7166"/>
    <n v="18203"/>
    <n v="17492"/>
    <n v="42280"/>
    <n v="1761.6666666666667"/>
    <n v="41507"/>
    <n v="1729.4583333333333"/>
    <n v="12622.233333333334"/>
    <n v="12968.525000000001"/>
  </r>
  <r>
    <x v="12"/>
    <s v="Middle Tennessee State University "/>
    <m/>
    <n v="220978"/>
    <x v="2"/>
    <s v="sem"/>
    <s v="sem"/>
    <m/>
    <m/>
    <n v="269515"/>
    <n v="280020"/>
    <n v="46449"/>
    <n v="47561"/>
    <n v="304889"/>
    <n v="301604"/>
    <n v="620853"/>
    <n v="20695.099999999999"/>
    <n v="629185"/>
    <n v="20972.833333333332"/>
    <m/>
    <m/>
    <n v="0"/>
    <n v="0"/>
    <m/>
    <m/>
    <m/>
    <m/>
    <m/>
    <m/>
    <m/>
    <m/>
    <n v="0"/>
    <n v="0"/>
    <n v="0"/>
    <n v="0"/>
    <m/>
    <m/>
    <n v="0"/>
    <n v="0"/>
    <m/>
    <m/>
    <n v="18402"/>
    <n v="19471"/>
    <n v="9877"/>
    <n v="9625"/>
    <n v="20221"/>
    <n v="20402"/>
    <n v="48500"/>
    <n v="2020.8333333333333"/>
    <n v="49498"/>
    <n v="2062.4166666666665"/>
    <n v="22715.933333333331"/>
    <n v="23035.25"/>
  </r>
  <r>
    <x v="12"/>
    <s v="Tennessee Technological University "/>
    <m/>
    <n v="221847"/>
    <x v="2"/>
    <s v="sem"/>
    <s v="sem"/>
    <m/>
    <m/>
    <n v="110929"/>
    <n v="117328"/>
    <n v="10499"/>
    <n v="13099"/>
    <n v="128270"/>
    <n v="132670"/>
    <n v="249698"/>
    <n v="8323.2666666666664"/>
    <n v="263097"/>
    <n v="8769.9"/>
    <m/>
    <m/>
    <n v="0"/>
    <n v="0"/>
    <m/>
    <m/>
    <m/>
    <m/>
    <m/>
    <m/>
    <m/>
    <m/>
    <n v="0"/>
    <n v="0"/>
    <n v="0"/>
    <n v="0"/>
    <m/>
    <m/>
    <n v="0"/>
    <n v="0"/>
    <m/>
    <m/>
    <n v="10950"/>
    <n v="8437"/>
    <n v="4854"/>
    <n v="3656"/>
    <n v="9716"/>
    <n v="8165"/>
    <n v="25520"/>
    <n v="1063.3333333333333"/>
    <n v="20258"/>
    <n v="844.08333333333337"/>
    <n v="9386.6"/>
    <n v="9613.9833333333336"/>
  </r>
  <r>
    <x v="12"/>
    <s v="University of Tennessee at Chattanooga"/>
    <m/>
    <n v="221740"/>
    <x v="2"/>
    <s v="sem"/>
    <s v="sem"/>
    <m/>
    <m/>
    <n v="113249"/>
    <n v="109626"/>
    <n v="15127"/>
    <n v="14737"/>
    <n v="132341"/>
    <n v="132574"/>
    <n v="260717"/>
    <n v="8690.5666666666675"/>
    <n v="256937"/>
    <n v="8564.5666666666675"/>
    <m/>
    <m/>
    <n v="0"/>
    <n v="0"/>
    <m/>
    <m/>
    <m/>
    <m/>
    <m/>
    <m/>
    <m/>
    <m/>
    <n v="0"/>
    <n v="0"/>
    <n v="0"/>
    <n v="0"/>
    <m/>
    <m/>
    <n v="0"/>
    <n v="0"/>
    <m/>
    <m/>
    <n v="10597"/>
    <n v="10816"/>
    <n v="5671"/>
    <n v="5736"/>
    <n v="11586"/>
    <n v="12076"/>
    <n v="27854"/>
    <n v="1160.5833333333333"/>
    <n v="28628"/>
    <n v="1192.8333333333333"/>
    <n v="9851.1500000000015"/>
    <n v="9757.4000000000015"/>
  </r>
  <r>
    <x v="12"/>
    <s v="University of Tennessee at Martin"/>
    <s v="Met the criteria for Four-Year 4 in 2011-12."/>
    <n v="221768"/>
    <x v="4"/>
    <s v="sem"/>
    <s v="sem"/>
    <m/>
    <m/>
    <n v="91563"/>
    <n v="82652"/>
    <n v="11862"/>
    <n v="13865"/>
    <n v="100476"/>
    <n v="99680"/>
    <n v="203901"/>
    <n v="6796.7"/>
    <n v="196197"/>
    <n v="6539.9"/>
    <n v="6272"/>
    <n v="5557"/>
    <n v="203901"/>
    <n v="196197"/>
    <m/>
    <m/>
    <m/>
    <m/>
    <m/>
    <m/>
    <m/>
    <m/>
    <n v="0"/>
    <n v="0"/>
    <n v="0"/>
    <n v="0"/>
    <m/>
    <m/>
    <n v="0"/>
    <n v="0"/>
    <m/>
    <m/>
    <n v="2898"/>
    <n v="1119"/>
    <n v="2368"/>
    <n v="2038"/>
    <n v="3129"/>
    <n v="2485"/>
    <n v="8395"/>
    <n v="349.79166666666669"/>
    <n v="5642"/>
    <n v="235.08333333333334"/>
    <n v="7146.4916666666668"/>
    <n v="6774.9833333333327"/>
  </r>
  <r>
    <x v="12"/>
    <s v="Chattanooga State Technical Community College "/>
    <m/>
    <n v="219824"/>
    <x v="6"/>
    <s v="sem"/>
    <s v="sem"/>
    <m/>
    <m/>
    <n v="86188"/>
    <n v="94137"/>
    <n v="21070"/>
    <n v="20055"/>
    <n v="100682"/>
    <n v="100065"/>
    <n v="207940"/>
    <n v="6931.333333333333"/>
    <n v="214257"/>
    <n v="7141.9"/>
    <n v="9189"/>
    <n v="10640"/>
    <n v="207940"/>
    <n v="214257"/>
    <m/>
    <m/>
    <m/>
    <m/>
    <m/>
    <m/>
    <m/>
    <m/>
    <n v="0"/>
    <n v="0"/>
    <n v="0"/>
    <n v="0"/>
    <m/>
    <m/>
    <n v="0"/>
    <n v="0"/>
    <m/>
    <m/>
    <m/>
    <m/>
    <m/>
    <m/>
    <m/>
    <m/>
    <n v="0"/>
    <n v="0"/>
    <n v="0"/>
    <n v="0"/>
    <n v="6931.333333333333"/>
    <n v="7141.9"/>
  </r>
  <r>
    <x v="12"/>
    <s v="Nashville State Technical Community College"/>
    <s v="Reclassified: Met the criteria for Two-year 1 in 2009-10, 2010-11, and 2011-12."/>
    <n v="221184"/>
    <x v="6"/>
    <s v="sem"/>
    <s v="sem"/>
    <m/>
    <m/>
    <n v="81382"/>
    <n v="84010"/>
    <n v="22953"/>
    <n v="27112"/>
    <n v="84285"/>
    <n v="85290"/>
    <n v="188620"/>
    <n v="6287.333333333333"/>
    <n v="196412"/>
    <n v="6547.0666666666666"/>
    <n v="5342"/>
    <n v="5677"/>
    <n v="188620"/>
    <n v="196412"/>
    <m/>
    <m/>
    <m/>
    <m/>
    <m/>
    <m/>
    <m/>
    <m/>
    <n v="0"/>
    <n v="0"/>
    <n v="0"/>
    <n v="0"/>
    <m/>
    <m/>
    <n v="0"/>
    <n v="0"/>
    <m/>
    <m/>
    <m/>
    <m/>
    <m/>
    <m/>
    <m/>
    <m/>
    <n v="0"/>
    <n v="0"/>
    <n v="0"/>
    <n v="0"/>
    <n v="6287.333333333333"/>
    <n v="6547.0666666666666"/>
  </r>
  <r>
    <x v="12"/>
    <s v="Pellissippi State Technical Community College"/>
    <m/>
    <n v="221643"/>
    <x v="6"/>
    <s v="sem"/>
    <s v="sem"/>
    <m/>
    <m/>
    <n v="94444"/>
    <n v="100060"/>
    <n v="23288"/>
    <n v="25201"/>
    <n v="109115"/>
    <n v="111029"/>
    <n v="226847"/>
    <n v="7561.5666666666666"/>
    <n v="236290"/>
    <n v="7876.333333333333"/>
    <n v="5813"/>
    <n v="6884"/>
    <n v="226847"/>
    <n v="236290"/>
    <m/>
    <m/>
    <m/>
    <m/>
    <m/>
    <m/>
    <m/>
    <m/>
    <n v="0"/>
    <n v="0"/>
    <n v="0"/>
    <n v="0"/>
    <m/>
    <m/>
    <n v="0"/>
    <n v="0"/>
    <m/>
    <m/>
    <m/>
    <m/>
    <m/>
    <m/>
    <m/>
    <m/>
    <n v="0"/>
    <n v="0"/>
    <n v="0"/>
    <n v="0"/>
    <n v="7561.5666666666666"/>
    <n v="7876.333333333333"/>
  </r>
  <r>
    <x v="12"/>
    <s v="Southwest Tennessee Community College"/>
    <m/>
    <n v="221485"/>
    <x v="6"/>
    <s v="sem"/>
    <s v="sem"/>
    <m/>
    <m/>
    <n v="120246"/>
    <n v="117785"/>
    <n v="42687"/>
    <n v="45229"/>
    <n v="126470"/>
    <n v="123233"/>
    <n v="289403"/>
    <n v="9646.7666666666664"/>
    <n v="286247"/>
    <n v="9541.5666666666675"/>
    <n v="1950"/>
    <n v="1611"/>
    <n v="289403"/>
    <n v="286247"/>
    <m/>
    <m/>
    <m/>
    <m/>
    <m/>
    <m/>
    <m/>
    <m/>
    <n v="0"/>
    <n v="0"/>
    <n v="0"/>
    <n v="0"/>
    <m/>
    <m/>
    <n v="0"/>
    <n v="0"/>
    <m/>
    <m/>
    <m/>
    <m/>
    <m/>
    <m/>
    <m/>
    <m/>
    <n v="0"/>
    <n v="0"/>
    <n v="0"/>
    <n v="0"/>
    <n v="9646.7666666666664"/>
    <n v="9541.5666666666675"/>
  </r>
  <r>
    <x v="12"/>
    <s v="Volunteer State Community College "/>
    <s v="Reclassified: Met the criteria for Two-year 1 in 2009-10, 2010-11, and 2011-12."/>
    <n v="222053"/>
    <x v="6"/>
    <s v="sem"/>
    <s v="sem"/>
    <m/>
    <m/>
    <n v="76402"/>
    <n v="76398"/>
    <n v="20419"/>
    <n v="19259"/>
    <n v="86654"/>
    <n v="81735"/>
    <n v="183475"/>
    <n v="6115.833333333333"/>
    <n v="177392"/>
    <n v="5913.0666666666666"/>
    <n v="9338"/>
    <n v="10522"/>
    <n v="183475"/>
    <n v="177392"/>
    <m/>
    <m/>
    <m/>
    <m/>
    <m/>
    <m/>
    <m/>
    <m/>
    <n v="0"/>
    <n v="0"/>
    <n v="0"/>
    <n v="0"/>
    <m/>
    <m/>
    <n v="0"/>
    <n v="0"/>
    <m/>
    <m/>
    <m/>
    <m/>
    <m/>
    <m/>
    <m/>
    <m/>
    <n v="0"/>
    <n v="0"/>
    <n v="0"/>
    <n v="0"/>
    <n v="6115.833333333333"/>
    <n v="5913.0666666666666"/>
  </r>
  <r>
    <x v="12"/>
    <s v="Cleveland State Community College "/>
    <m/>
    <n v="219879"/>
    <x v="7"/>
    <s v="sem"/>
    <s v="sem"/>
    <m/>
    <m/>
    <n v="34942"/>
    <n v="35853"/>
    <n v="6115"/>
    <n v="6569"/>
    <n v="38877"/>
    <n v="39251"/>
    <n v="79934"/>
    <n v="2664.4666666666667"/>
    <n v="81673"/>
    <n v="2722.4333333333334"/>
    <n v="3523"/>
    <n v="3694"/>
    <n v="79934"/>
    <n v="81673"/>
    <m/>
    <m/>
    <m/>
    <m/>
    <m/>
    <m/>
    <m/>
    <m/>
    <n v="0"/>
    <n v="0"/>
    <n v="0"/>
    <n v="0"/>
    <m/>
    <m/>
    <n v="0"/>
    <n v="0"/>
    <m/>
    <m/>
    <m/>
    <m/>
    <m/>
    <m/>
    <m/>
    <m/>
    <n v="0"/>
    <n v="0"/>
    <n v="0"/>
    <n v="0"/>
    <n v="2664.4666666666667"/>
    <n v="2722.4333333333334"/>
  </r>
  <r>
    <x v="12"/>
    <s v="Columbia State Community College "/>
    <m/>
    <n v="219888"/>
    <x v="7"/>
    <s v="sem"/>
    <s v="sem"/>
    <m/>
    <m/>
    <n v="48645"/>
    <n v="49503"/>
    <n v="10926"/>
    <n v="10063"/>
    <n v="53689"/>
    <n v="51259"/>
    <n v="113260"/>
    <n v="3775.3333333333335"/>
    <n v="110825"/>
    <n v="3694.1666666666665"/>
    <n v="3893"/>
    <n v="4299"/>
    <n v="113260"/>
    <n v="110825"/>
    <m/>
    <m/>
    <m/>
    <m/>
    <m/>
    <m/>
    <m/>
    <m/>
    <n v="0"/>
    <n v="0"/>
    <n v="0"/>
    <n v="0"/>
    <m/>
    <m/>
    <n v="0"/>
    <n v="0"/>
    <m/>
    <m/>
    <m/>
    <m/>
    <m/>
    <m/>
    <m/>
    <m/>
    <n v="0"/>
    <n v="0"/>
    <n v="0"/>
    <n v="0"/>
    <n v="3775.3333333333335"/>
    <n v="3694.1666666666665"/>
  </r>
  <r>
    <x v="12"/>
    <s v="Dyersburg State Community College "/>
    <s v="Reclassified: Met the criteria for Two-year 2 in 2009-10, 2010-11, and 2011-12."/>
    <n v="220057"/>
    <x v="7"/>
    <s v="sem"/>
    <s v="sem"/>
    <m/>
    <m/>
    <n v="31663"/>
    <n v="32038"/>
    <n v="4778"/>
    <n v="4254"/>
    <n v="36290"/>
    <n v="35004"/>
    <n v="72731"/>
    <n v="2424.3666666666668"/>
    <n v="71296"/>
    <n v="2376.5333333333333"/>
    <n v="5354"/>
    <n v="6900"/>
    <n v="72731"/>
    <n v="71296"/>
    <m/>
    <m/>
    <m/>
    <m/>
    <m/>
    <m/>
    <m/>
    <m/>
    <n v="0"/>
    <n v="0"/>
    <n v="0"/>
    <n v="0"/>
    <m/>
    <m/>
    <n v="0"/>
    <n v="0"/>
    <m/>
    <m/>
    <m/>
    <m/>
    <m/>
    <m/>
    <m/>
    <m/>
    <n v="0"/>
    <n v="0"/>
    <n v="0"/>
    <n v="0"/>
    <n v="2424.3666666666668"/>
    <n v="2376.5333333333333"/>
  </r>
  <r>
    <x v="12"/>
    <s v="Jackson State Community College "/>
    <m/>
    <n v="220400"/>
    <x v="7"/>
    <s v="sem"/>
    <s v="sem"/>
    <m/>
    <m/>
    <n v="47836"/>
    <n v="46043"/>
    <n v="11798"/>
    <n v="10492"/>
    <n v="51152"/>
    <n v="48893"/>
    <n v="110786"/>
    <n v="3692.8666666666668"/>
    <n v="105428"/>
    <n v="3514.2666666666669"/>
    <n v="4509"/>
    <n v="4920"/>
    <n v="110786"/>
    <n v="105428"/>
    <m/>
    <m/>
    <m/>
    <m/>
    <m/>
    <m/>
    <m/>
    <m/>
    <n v="0"/>
    <n v="0"/>
    <n v="0"/>
    <n v="0"/>
    <m/>
    <m/>
    <n v="0"/>
    <n v="0"/>
    <m/>
    <m/>
    <m/>
    <m/>
    <m/>
    <m/>
    <m/>
    <m/>
    <n v="0"/>
    <n v="0"/>
    <n v="0"/>
    <n v="0"/>
    <n v="3692.8666666666668"/>
    <n v="3514.2666666666669"/>
  </r>
  <r>
    <x v="12"/>
    <s v="Motlow State Community College "/>
    <m/>
    <n v="221096"/>
    <x v="7"/>
    <s v="sem"/>
    <s v="sem"/>
    <m/>
    <m/>
    <n v="47308"/>
    <n v="44700"/>
    <n v="8458"/>
    <n v="8939"/>
    <n v="50050"/>
    <n v="46034"/>
    <n v="105816"/>
    <n v="3527.2"/>
    <n v="99673"/>
    <n v="3322.4333333333334"/>
    <n v="4763"/>
    <n v="5207"/>
    <n v="105816"/>
    <n v="99673"/>
    <m/>
    <m/>
    <m/>
    <m/>
    <m/>
    <m/>
    <m/>
    <m/>
    <n v="0"/>
    <n v="0"/>
    <n v="0"/>
    <n v="0"/>
    <m/>
    <m/>
    <n v="0"/>
    <n v="0"/>
    <m/>
    <m/>
    <m/>
    <m/>
    <m/>
    <m/>
    <m/>
    <m/>
    <n v="0"/>
    <n v="0"/>
    <n v="0"/>
    <n v="0"/>
    <n v="3527.2"/>
    <n v="3322.4333333333334"/>
  </r>
  <r>
    <x v="12"/>
    <s v="Northeast State Technical Community College"/>
    <m/>
    <n v="221908"/>
    <x v="7"/>
    <s v="sem"/>
    <s v="sem"/>
    <m/>
    <m/>
    <n v="59628"/>
    <n v="64441"/>
    <n v="14453"/>
    <n v="13266"/>
    <n v="69362"/>
    <n v="66339"/>
    <n v="143443"/>
    <n v="4781.4333333333334"/>
    <n v="144046"/>
    <n v="4801.5333333333338"/>
    <n v="2960"/>
    <n v="4114"/>
    <n v="143443"/>
    <n v="144046"/>
    <m/>
    <m/>
    <m/>
    <m/>
    <m/>
    <m/>
    <m/>
    <m/>
    <n v="0"/>
    <n v="0"/>
    <n v="0"/>
    <n v="0"/>
    <m/>
    <m/>
    <n v="0"/>
    <n v="0"/>
    <m/>
    <m/>
    <m/>
    <m/>
    <m/>
    <m/>
    <m/>
    <m/>
    <n v="0"/>
    <n v="0"/>
    <n v="0"/>
    <n v="0"/>
    <n v="4781.4333333333334"/>
    <n v="4801.5333333333338"/>
  </r>
  <r>
    <x v="12"/>
    <s v="Roane State Community College "/>
    <m/>
    <n v="221397"/>
    <x v="7"/>
    <s v="sem"/>
    <s v="sem"/>
    <m/>
    <m/>
    <n v="61362"/>
    <n v="63123"/>
    <n v="9645"/>
    <n v="9542"/>
    <n v="65842"/>
    <n v="63077"/>
    <n v="136849"/>
    <n v="4561.6333333333332"/>
    <n v="135742"/>
    <n v="4524.7333333333336"/>
    <n v="6716"/>
    <n v="8615"/>
    <n v="136849"/>
    <n v="135742"/>
    <m/>
    <m/>
    <m/>
    <m/>
    <m/>
    <m/>
    <m/>
    <m/>
    <n v="0"/>
    <n v="0"/>
    <n v="0"/>
    <n v="0"/>
    <m/>
    <m/>
    <n v="0"/>
    <n v="0"/>
    <m/>
    <m/>
    <m/>
    <m/>
    <m/>
    <m/>
    <m/>
    <m/>
    <n v="0"/>
    <n v="0"/>
    <n v="0"/>
    <n v="0"/>
    <n v="4561.6333333333332"/>
    <n v="4524.7333333333336"/>
  </r>
  <r>
    <x v="12"/>
    <s v="Walters State Community College "/>
    <m/>
    <n v="222062"/>
    <x v="7"/>
    <s v="sem"/>
    <s v="sem"/>
    <m/>
    <m/>
    <n v="65058"/>
    <n v="65479"/>
    <n v="11393"/>
    <n v="10622"/>
    <n v="72124"/>
    <n v="68930"/>
    <n v="148575"/>
    <n v="4952.5"/>
    <n v="145031"/>
    <n v="4834.3666666666668"/>
    <n v="6662"/>
    <n v="7563"/>
    <n v="148575"/>
    <n v="145031"/>
    <m/>
    <m/>
    <m/>
    <m/>
    <m/>
    <m/>
    <m/>
    <m/>
    <n v="0"/>
    <n v="0"/>
    <n v="0"/>
    <n v="0"/>
    <m/>
    <m/>
    <n v="0"/>
    <n v="0"/>
    <m/>
    <m/>
    <m/>
    <m/>
    <m/>
    <m/>
    <m/>
    <m/>
    <n v="0"/>
    <n v="0"/>
    <n v="0"/>
    <n v="0"/>
    <n v="4952.5"/>
    <n v="4834.3666666666668"/>
  </r>
  <r>
    <x v="12"/>
    <s v="Tennessee Technology Center at Athens"/>
    <m/>
    <n v="219596"/>
    <x v="10"/>
    <s v="sem"/>
    <s v="sem"/>
    <m/>
    <m/>
    <m/>
    <m/>
    <m/>
    <m/>
    <m/>
    <m/>
    <n v="0"/>
    <n v="0"/>
    <n v="0"/>
    <n v="0"/>
    <m/>
    <m/>
    <n v="0"/>
    <n v="0"/>
    <m/>
    <m/>
    <n v="93990"/>
    <n v="77484"/>
    <n v="91694"/>
    <n v="67456"/>
    <n v="81228"/>
    <n v="147712"/>
    <n v="266912"/>
    <n v="296.56888888888886"/>
    <n v="292652"/>
    <n v="325.16888888888889"/>
    <m/>
    <m/>
    <n v="0"/>
    <n v="0"/>
    <m/>
    <m/>
    <m/>
    <m/>
    <m/>
    <m/>
    <m/>
    <m/>
    <n v="0"/>
    <n v="0"/>
    <n v="0"/>
    <n v="0"/>
    <n v="296.56888888888886"/>
    <n v="325.16888888888889"/>
  </r>
  <r>
    <x v="12"/>
    <s v="Tennessee Technology Center at Chattanooga"/>
    <s v="Met the criteria for Technical Institute or College 1 in 2010-11 and 2011-12."/>
    <s v="219824B"/>
    <x v="10"/>
    <s v="sem"/>
    <s v="sem"/>
    <m/>
    <m/>
    <m/>
    <m/>
    <m/>
    <m/>
    <m/>
    <m/>
    <n v="0"/>
    <n v="0"/>
    <n v="0"/>
    <n v="0"/>
    <m/>
    <m/>
    <n v="0"/>
    <n v="0"/>
    <m/>
    <m/>
    <n v="354565"/>
    <n v="356303"/>
    <n v="206919"/>
    <n v="234404"/>
    <n v="379020"/>
    <n v="591004"/>
    <n v="940504"/>
    <n v="1045.0044444444445"/>
    <n v="1181711"/>
    <n v="1313.0122222222221"/>
    <m/>
    <m/>
    <n v="0"/>
    <n v="0"/>
    <m/>
    <m/>
    <m/>
    <m/>
    <m/>
    <m/>
    <m/>
    <m/>
    <n v="0"/>
    <n v="0"/>
    <n v="0"/>
    <n v="0"/>
    <n v="1045.0044444444445"/>
    <n v="1313.0122222222221"/>
  </r>
  <r>
    <x v="12"/>
    <s v="Tennessee Technology Center at Covington"/>
    <m/>
    <n v="219921"/>
    <x v="10"/>
    <s v="sem"/>
    <s v="sem"/>
    <m/>
    <m/>
    <m/>
    <m/>
    <m/>
    <m/>
    <m/>
    <m/>
    <n v="0"/>
    <n v="0"/>
    <n v="0"/>
    <n v="0"/>
    <m/>
    <m/>
    <n v="0"/>
    <n v="0"/>
    <m/>
    <m/>
    <n v="68475"/>
    <n v="57639"/>
    <n v="60735"/>
    <n v="49086"/>
    <n v="65996"/>
    <n v="108705"/>
    <n v="195206"/>
    <n v="216.89555555555555"/>
    <n v="215430"/>
    <n v="239.36666666666667"/>
    <m/>
    <m/>
    <n v="0"/>
    <n v="0"/>
    <m/>
    <m/>
    <m/>
    <m/>
    <m/>
    <m/>
    <m/>
    <m/>
    <n v="0"/>
    <n v="0"/>
    <n v="0"/>
    <n v="0"/>
    <n v="216.89555555555555"/>
    <n v="239.36666666666667"/>
  </r>
  <r>
    <x v="12"/>
    <s v="Tennessee Technology Center at Crossville"/>
    <m/>
    <n v="221591"/>
    <x v="10"/>
    <s v="sem"/>
    <s v="sem"/>
    <m/>
    <m/>
    <m/>
    <m/>
    <m/>
    <m/>
    <m/>
    <m/>
    <n v="0"/>
    <n v="0"/>
    <n v="0"/>
    <n v="0"/>
    <m/>
    <m/>
    <n v="0"/>
    <n v="0"/>
    <m/>
    <m/>
    <n v="140840"/>
    <n v="114661"/>
    <n v="110775"/>
    <n v="87519"/>
    <n v="113898"/>
    <n v="203044"/>
    <n v="365513"/>
    <n v="406.12555555555554"/>
    <n v="405224"/>
    <n v="450.24888888888887"/>
    <m/>
    <m/>
    <n v="0"/>
    <n v="0"/>
    <m/>
    <m/>
    <m/>
    <m/>
    <m/>
    <m/>
    <m/>
    <m/>
    <n v="0"/>
    <n v="0"/>
    <n v="0"/>
    <n v="0"/>
    <n v="406.12555555555554"/>
    <n v="450.24888888888887"/>
  </r>
  <r>
    <x v="12"/>
    <s v="Tennessee Technology Center at Crump"/>
    <m/>
    <n v="221430"/>
    <x v="10"/>
    <s v="sem"/>
    <s v="sem"/>
    <m/>
    <m/>
    <m/>
    <m/>
    <m/>
    <m/>
    <m/>
    <m/>
    <n v="0"/>
    <n v="0"/>
    <n v="0"/>
    <n v="0"/>
    <m/>
    <m/>
    <n v="0"/>
    <n v="0"/>
    <m/>
    <m/>
    <n v="102301"/>
    <n v="77512"/>
    <n v="85295"/>
    <n v="65429"/>
    <n v="93410"/>
    <n v="144921"/>
    <n v="281006"/>
    <n v="312.22888888888889"/>
    <n v="287862"/>
    <n v="319.84666666666669"/>
    <m/>
    <m/>
    <n v="0"/>
    <n v="0"/>
    <m/>
    <m/>
    <m/>
    <m/>
    <m/>
    <m/>
    <m/>
    <m/>
    <n v="0"/>
    <n v="0"/>
    <n v="0"/>
    <n v="0"/>
    <n v="312.22888888888889"/>
    <n v="319.84666666666669"/>
  </r>
  <r>
    <x v="12"/>
    <s v="Tennessee Technology Center at Dickson"/>
    <m/>
    <n v="219994"/>
    <x v="10"/>
    <s v="sem"/>
    <s v="sem"/>
    <m/>
    <m/>
    <m/>
    <m/>
    <m/>
    <m/>
    <m/>
    <m/>
    <n v="0"/>
    <n v="0"/>
    <n v="0"/>
    <n v="0"/>
    <m/>
    <m/>
    <n v="0"/>
    <n v="0"/>
    <m/>
    <m/>
    <n v="184311"/>
    <n v="177826"/>
    <n v="177369"/>
    <n v="161193"/>
    <n v="195566"/>
    <n v="341197"/>
    <n v="557246"/>
    <n v="619.16222222222223"/>
    <n v="680216"/>
    <n v="755.79555555555555"/>
    <m/>
    <m/>
    <n v="0"/>
    <n v="0"/>
    <m/>
    <m/>
    <m/>
    <m/>
    <m/>
    <m/>
    <m/>
    <m/>
    <n v="0"/>
    <n v="0"/>
    <n v="0"/>
    <n v="0"/>
    <n v="619.16222222222223"/>
    <n v="755.79555555555555"/>
  </r>
  <r>
    <x v="12"/>
    <s v="Tennessee Technology Center at Elizabethton"/>
    <m/>
    <n v="220127"/>
    <x v="10"/>
    <s v="sem"/>
    <s v="sem"/>
    <m/>
    <m/>
    <m/>
    <m/>
    <m/>
    <m/>
    <m/>
    <m/>
    <n v="0"/>
    <n v="0"/>
    <n v="0"/>
    <n v="0"/>
    <m/>
    <m/>
    <n v="0"/>
    <n v="0"/>
    <m/>
    <m/>
    <n v="175137"/>
    <n v="166940"/>
    <n v="168235"/>
    <n v="158091"/>
    <n v="175569"/>
    <n v="326028"/>
    <n v="518941"/>
    <n v="576.60111111111109"/>
    <n v="651059"/>
    <n v="723.39888888888891"/>
    <m/>
    <m/>
    <n v="0"/>
    <n v="0"/>
    <m/>
    <m/>
    <m/>
    <m/>
    <m/>
    <m/>
    <m/>
    <m/>
    <n v="0"/>
    <n v="0"/>
    <n v="0"/>
    <n v="0"/>
    <n v="576.60111111111109"/>
    <n v="723.39888888888891"/>
  </r>
  <r>
    <x v="12"/>
    <s v="Tennessee Technology Center at Harriman"/>
    <m/>
    <n v="220251"/>
    <x v="10"/>
    <s v="sem"/>
    <s v="sem"/>
    <m/>
    <m/>
    <m/>
    <m/>
    <m/>
    <m/>
    <m/>
    <m/>
    <n v="0"/>
    <n v="0"/>
    <n v="0"/>
    <n v="0"/>
    <m/>
    <m/>
    <n v="0"/>
    <n v="0"/>
    <m/>
    <m/>
    <n v="110613"/>
    <n v="100943"/>
    <n v="94914"/>
    <n v="69188"/>
    <n v="98017"/>
    <n v="173497"/>
    <n v="303544"/>
    <n v="337.27111111111111"/>
    <n v="343628"/>
    <n v="381.80888888888887"/>
    <m/>
    <m/>
    <n v="0"/>
    <n v="0"/>
    <m/>
    <m/>
    <m/>
    <m/>
    <m/>
    <m/>
    <m/>
    <m/>
    <n v="0"/>
    <n v="0"/>
    <n v="0"/>
    <n v="0"/>
    <n v="337.27111111111111"/>
    <n v="381.80888888888887"/>
  </r>
  <r>
    <x v="12"/>
    <s v="Tennessee Technology Center at Hartsville"/>
    <m/>
    <n v="220279"/>
    <x v="10"/>
    <s v="sem"/>
    <s v="sem"/>
    <m/>
    <m/>
    <m/>
    <m/>
    <m/>
    <m/>
    <m/>
    <m/>
    <n v="0"/>
    <n v="0"/>
    <n v="0"/>
    <n v="0"/>
    <m/>
    <m/>
    <n v="0"/>
    <n v="0"/>
    <m/>
    <m/>
    <n v="143959"/>
    <n v="142474"/>
    <n v="116475"/>
    <n v="97558"/>
    <n v="160221"/>
    <n v="240824"/>
    <n v="420655"/>
    <n v="467.39444444444445"/>
    <n v="480856"/>
    <n v="534.28444444444449"/>
    <m/>
    <m/>
    <n v="0"/>
    <n v="0"/>
    <m/>
    <m/>
    <m/>
    <m/>
    <m/>
    <m/>
    <m/>
    <m/>
    <n v="0"/>
    <n v="0"/>
    <n v="0"/>
    <n v="0"/>
    <n v="467.39444444444445"/>
    <n v="534.28444444444449"/>
  </r>
  <r>
    <x v="12"/>
    <s v="Tennessee Technology Center at Hohenwald"/>
    <m/>
    <n v="220321"/>
    <x v="10"/>
    <s v="sem"/>
    <s v="sem"/>
    <m/>
    <m/>
    <m/>
    <m/>
    <m/>
    <m/>
    <m/>
    <m/>
    <n v="0"/>
    <n v="0"/>
    <n v="0"/>
    <n v="0"/>
    <m/>
    <m/>
    <n v="0"/>
    <n v="0"/>
    <m/>
    <m/>
    <n v="170695"/>
    <n v="145278"/>
    <n v="157228"/>
    <n v="121653"/>
    <n v="150288"/>
    <n v="270990"/>
    <n v="478211"/>
    <n v="531.34555555555551"/>
    <n v="537921"/>
    <n v="597.69000000000005"/>
    <m/>
    <m/>
    <n v="0"/>
    <n v="0"/>
    <m/>
    <m/>
    <m/>
    <m/>
    <m/>
    <m/>
    <m/>
    <m/>
    <n v="0"/>
    <n v="0"/>
    <n v="0"/>
    <n v="0"/>
    <n v="531.34555555555551"/>
    <n v="597.69000000000005"/>
  </r>
  <r>
    <x v="12"/>
    <s v="Tennessee Technology Center at Jacksboro"/>
    <m/>
    <n v="220394"/>
    <x v="10"/>
    <s v="sem"/>
    <s v="sem"/>
    <m/>
    <m/>
    <m/>
    <m/>
    <m/>
    <m/>
    <m/>
    <m/>
    <n v="0"/>
    <n v="0"/>
    <n v="0"/>
    <n v="0"/>
    <m/>
    <m/>
    <n v="0"/>
    <n v="0"/>
    <m/>
    <m/>
    <n v="77282"/>
    <n v="61317"/>
    <n v="68114"/>
    <n v="55502"/>
    <n v="73227"/>
    <n v="118799"/>
    <n v="218623"/>
    <n v="242.91444444444446"/>
    <n v="235618"/>
    <n v="261.79777777777775"/>
    <m/>
    <m/>
    <n v="0"/>
    <n v="0"/>
    <m/>
    <m/>
    <m/>
    <m/>
    <m/>
    <m/>
    <m/>
    <m/>
    <n v="0"/>
    <n v="0"/>
    <n v="0"/>
    <n v="0"/>
    <n v="242.91444444444446"/>
    <n v="261.79777777777775"/>
  </r>
  <r>
    <x v="12"/>
    <s v="Tennessee Technology Center at Jackson"/>
    <m/>
    <n v="221616"/>
    <x v="10"/>
    <s v="sem"/>
    <s v="sem"/>
    <m/>
    <m/>
    <m/>
    <m/>
    <m/>
    <m/>
    <m/>
    <m/>
    <n v="0"/>
    <n v="0"/>
    <n v="0"/>
    <n v="0"/>
    <m/>
    <m/>
    <n v="0"/>
    <n v="0"/>
    <m/>
    <m/>
    <n v="216548"/>
    <n v="183294"/>
    <n v="204740"/>
    <n v="164025"/>
    <n v="213107"/>
    <n v="350685"/>
    <n v="634395"/>
    <n v="704.88333333333333"/>
    <n v="698004"/>
    <n v="775.56"/>
    <m/>
    <m/>
    <n v="0"/>
    <n v="0"/>
    <m/>
    <m/>
    <m/>
    <m/>
    <m/>
    <m/>
    <m/>
    <m/>
    <n v="0"/>
    <n v="0"/>
    <n v="0"/>
    <n v="0"/>
    <n v="704.88333333333333"/>
    <n v="775.56"/>
  </r>
  <r>
    <x v="12"/>
    <s v="Tennessee Technology Center at Knoxville"/>
    <m/>
    <n v="221625"/>
    <x v="10"/>
    <s v="sem"/>
    <s v="sem"/>
    <m/>
    <m/>
    <m/>
    <m/>
    <m/>
    <m/>
    <m/>
    <m/>
    <n v="0"/>
    <n v="0"/>
    <n v="0"/>
    <n v="0"/>
    <m/>
    <m/>
    <n v="0"/>
    <n v="0"/>
    <m/>
    <m/>
    <n v="236962"/>
    <n v="196747"/>
    <n v="221266"/>
    <n v="188863"/>
    <n v="206058"/>
    <n v="390305"/>
    <n v="664286"/>
    <n v="738.09555555555551"/>
    <n v="775915"/>
    <n v="862.12777777777774"/>
    <m/>
    <m/>
    <n v="0"/>
    <n v="0"/>
    <m/>
    <m/>
    <m/>
    <m/>
    <m/>
    <m/>
    <m/>
    <m/>
    <n v="0"/>
    <n v="0"/>
    <n v="0"/>
    <n v="0"/>
    <n v="738.09555555555551"/>
    <n v="862.12777777777774"/>
  </r>
  <r>
    <x v="12"/>
    <s v="Tennessee Technology Center at Livingston"/>
    <m/>
    <n v="220640"/>
    <x v="10"/>
    <s v="sem"/>
    <s v="sem"/>
    <m/>
    <m/>
    <m/>
    <m/>
    <m/>
    <m/>
    <m/>
    <m/>
    <n v="0"/>
    <n v="0"/>
    <n v="0"/>
    <n v="0"/>
    <m/>
    <m/>
    <n v="0"/>
    <n v="0"/>
    <m/>
    <m/>
    <n v="153101"/>
    <n v="135869"/>
    <n v="121487"/>
    <n v="99908"/>
    <n v="150660"/>
    <n v="237460"/>
    <n v="425248"/>
    <n v="472.4977777777778"/>
    <n v="473237"/>
    <n v="525.81888888888886"/>
    <m/>
    <m/>
    <n v="0"/>
    <n v="0"/>
    <m/>
    <m/>
    <m/>
    <m/>
    <m/>
    <m/>
    <m/>
    <m/>
    <n v="0"/>
    <n v="0"/>
    <n v="0"/>
    <n v="0"/>
    <n v="472.4977777777778"/>
    <n v="525.81888888888886"/>
  </r>
  <r>
    <x v="12"/>
    <s v="Tennessee Technology Center at McKenzie"/>
    <m/>
    <n v="220756"/>
    <x v="10"/>
    <s v="sem"/>
    <s v="sem"/>
    <m/>
    <m/>
    <m/>
    <m/>
    <m/>
    <m/>
    <m/>
    <m/>
    <n v="0"/>
    <n v="0"/>
    <n v="0"/>
    <n v="0"/>
    <m/>
    <m/>
    <n v="0"/>
    <n v="0"/>
    <m/>
    <m/>
    <n v="104995"/>
    <n v="73229"/>
    <n v="92644"/>
    <n v="61828"/>
    <n v="92111"/>
    <n v="138225"/>
    <n v="289750"/>
    <n v="321.94444444444446"/>
    <n v="273282"/>
    <n v="303.64666666666665"/>
    <m/>
    <m/>
    <n v="0"/>
    <n v="0"/>
    <m/>
    <m/>
    <m/>
    <m/>
    <m/>
    <m/>
    <m/>
    <m/>
    <n v="0"/>
    <n v="0"/>
    <n v="0"/>
    <n v="0"/>
    <n v="321.94444444444446"/>
    <n v="303.64666666666665"/>
  </r>
  <r>
    <x v="12"/>
    <s v="Tennessee Technology Center at McMinnville"/>
    <m/>
    <n v="221607"/>
    <x v="10"/>
    <s v="sem"/>
    <s v="sem"/>
    <m/>
    <m/>
    <m/>
    <m/>
    <m/>
    <m/>
    <m/>
    <m/>
    <n v="0"/>
    <n v="0"/>
    <n v="0"/>
    <n v="0"/>
    <m/>
    <m/>
    <n v="0"/>
    <n v="0"/>
    <m/>
    <m/>
    <n v="112897"/>
    <n v="85258"/>
    <n v="99591"/>
    <n v="82238"/>
    <n v="89870"/>
    <n v="168090"/>
    <n v="302358"/>
    <n v="335.95333333333332"/>
    <n v="335586"/>
    <n v="372.87333333333333"/>
    <m/>
    <m/>
    <n v="0"/>
    <n v="0"/>
    <m/>
    <m/>
    <m/>
    <m/>
    <m/>
    <m/>
    <m/>
    <m/>
    <n v="0"/>
    <n v="0"/>
    <n v="0"/>
    <n v="0"/>
    <n v="335.95333333333332"/>
    <n v="372.87333333333333"/>
  </r>
  <r>
    <x v="12"/>
    <s v="Tennessee Technology Center at Memphis"/>
    <s v="Met the criteria for Technical Institute or College 1 in 2011-12."/>
    <n v="220853"/>
    <x v="10"/>
    <s v="sem"/>
    <s v="sem"/>
    <m/>
    <m/>
    <m/>
    <m/>
    <m/>
    <m/>
    <m/>
    <m/>
    <n v="0"/>
    <n v="0"/>
    <n v="0"/>
    <n v="0"/>
    <m/>
    <m/>
    <n v="0"/>
    <n v="0"/>
    <m/>
    <m/>
    <n v="233450"/>
    <n v="266610"/>
    <n v="223816"/>
    <n v="251758"/>
    <n v="257396"/>
    <n v="520348"/>
    <n v="714662"/>
    <n v="794.06888888888886"/>
    <n v="1038716"/>
    <n v="1154.1288888888889"/>
    <m/>
    <m/>
    <n v="0"/>
    <n v="0"/>
    <m/>
    <m/>
    <m/>
    <m/>
    <m/>
    <m/>
    <m/>
    <m/>
    <n v="0"/>
    <n v="0"/>
    <n v="0"/>
    <n v="0"/>
    <n v="794.06888888888886"/>
    <n v="1154.1288888888889"/>
  </r>
  <r>
    <x v="12"/>
    <s v="Tennessee Technology Center at Morristown"/>
    <m/>
    <n v="221050"/>
    <x v="10"/>
    <s v="sem"/>
    <s v="sem"/>
    <m/>
    <m/>
    <m/>
    <m/>
    <m/>
    <m/>
    <m/>
    <m/>
    <n v="0"/>
    <n v="0"/>
    <n v="0"/>
    <n v="0"/>
    <m/>
    <m/>
    <n v="0"/>
    <n v="0"/>
    <m/>
    <m/>
    <n v="225052"/>
    <n v="185104"/>
    <n v="197385"/>
    <n v="159218"/>
    <n v="204137"/>
    <n v="346674"/>
    <n v="626574"/>
    <n v="696.19333333333338"/>
    <n v="690996"/>
    <n v="767.77333333333331"/>
    <m/>
    <m/>
    <n v="0"/>
    <n v="0"/>
    <m/>
    <m/>
    <m/>
    <m/>
    <m/>
    <m/>
    <m/>
    <m/>
    <n v="0"/>
    <n v="0"/>
    <n v="0"/>
    <n v="0"/>
    <n v="696.19333333333338"/>
    <n v="767.77333333333331"/>
  </r>
  <r>
    <x v="12"/>
    <s v="Tennessee Technology Center at Murfreesboro"/>
    <m/>
    <n v="221102"/>
    <x v="10"/>
    <s v="sem"/>
    <s v="sem"/>
    <m/>
    <m/>
    <m/>
    <m/>
    <m/>
    <m/>
    <m/>
    <m/>
    <n v="0"/>
    <n v="0"/>
    <n v="0"/>
    <n v="0"/>
    <m/>
    <m/>
    <n v="0"/>
    <n v="0"/>
    <m/>
    <m/>
    <n v="155077"/>
    <n v="174185"/>
    <n v="148320"/>
    <n v="134883"/>
    <n v="153099"/>
    <n v="311529"/>
    <n v="456496"/>
    <n v="507.21777777777777"/>
    <n v="620597"/>
    <n v="689.55222222222221"/>
    <m/>
    <m/>
    <n v="0"/>
    <n v="0"/>
    <m/>
    <m/>
    <m/>
    <m/>
    <m/>
    <m/>
    <m/>
    <m/>
    <n v="0"/>
    <n v="0"/>
    <n v="0"/>
    <n v="0"/>
    <n v="507.21777777777777"/>
    <n v="689.55222222222221"/>
  </r>
  <r>
    <x v="12"/>
    <s v="Tennessee Technology Center at Nashville"/>
    <s v="Met the criteria for Technical Institute or College 1 in 2011-12."/>
    <n v="248925"/>
    <x v="10"/>
    <s v="sem"/>
    <s v="sem"/>
    <m/>
    <m/>
    <m/>
    <m/>
    <m/>
    <m/>
    <m/>
    <m/>
    <n v="0"/>
    <n v="0"/>
    <n v="0"/>
    <n v="0"/>
    <m/>
    <m/>
    <n v="0"/>
    <n v="0"/>
    <m/>
    <m/>
    <n v="267377"/>
    <n v="257568"/>
    <n v="247021"/>
    <n v="229722"/>
    <n v="269708"/>
    <n v="491349"/>
    <n v="784106"/>
    <n v="871.22888888888883"/>
    <n v="978639"/>
    <n v="1087.3766666666668"/>
    <m/>
    <m/>
    <n v="0"/>
    <n v="0"/>
    <m/>
    <m/>
    <m/>
    <m/>
    <m/>
    <m/>
    <m/>
    <m/>
    <n v="0"/>
    <n v="0"/>
    <n v="0"/>
    <n v="0"/>
    <n v="871.22888888888883"/>
    <n v="1087.3766666666668"/>
  </r>
  <r>
    <x v="12"/>
    <s v="Tennessee Technology Center at Newbern"/>
    <m/>
    <n v="221236"/>
    <x v="10"/>
    <s v="sem"/>
    <s v="sem"/>
    <m/>
    <m/>
    <m/>
    <m/>
    <m/>
    <m/>
    <m/>
    <m/>
    <n v="0"/>
    <n v="0"/>
    <n v="0"/>
    <n v="0"/>
    <m/>
    <m/>
    <n v="0"/>
    <n v="0"/>
    <m/>
    <m/>
    <n v="102778"/>
    <n v="77916"/>
    <n v="82200"/>
    <n v="64752"/>
    <n v="89794"/>
    <n v="143757"/>
    <n v="274772"/>
    <n v="305.30222222222221"/>
    <n v="286425"/>
    <n v="318.25"/>
    <m/>
    <m/>
    <n v="0"/>
    <n v="0"/>
    <m/>
    <m/>
    <m/>
    <m/>
    <m/>
    <m/>
    <m/>
    <m/>
    <n v="0"/>
    <n v="0"/>
    <n v="0"/>
    <n v="0"/>
    <n v="305.30222222222221"/>
    <n v="318.25"/>
  </r>
  <r>
    <x v="12"/>
    <s v="Tennessee Technology Center at Oneida"/>
    <m/>
    <n v="221582"/>
    <x v="10"/>
    <s v="sem"/>
    <s v="sem"/>
    <m/>
    <m/>
    <m/>
    <m/>
    <m/>
    <m/>
    <m/>
    <m/>
    <n v="0"/>
    <n v="0"/>
    <n v="0"/>
    <n v="0"/>
    <m/>
    <m/>
    <n v="0"/>
    <n v="0"/>
    <m/>
    <m/>
    <n v="121020"/>
    <n v="116904"/>
    <n v="89549"/>
    <n v="75489"/>
    <n v="122845"/>
    <n v="193680"/>
    <n v="333414"/>
    <n v="370.46"/>
    <n v="386073"/>
    <n v="428.97"/>
    <m/>
    <m/>
    <n v="0"/>
    <n v="0"/>
    <m/>
    <m/>
    <m/>
    <m/>
    <m/>
    <m/>
    <m/>
    <m/>
    <n v="0"/>
    <n v="0"/>
    <n v="0"/>
    <n v="0"/>
    <n v="370.46"/>
    <n v="428.97"/>
  </r>
  <r>
    <x v="12"/>
    <s v="Tennessee Technology Center at Paris"/>
    <m/>
    <n v="221281"/>
    <x v="10"/>
    <s v="sem"/>
    <s v="sem"/>
    <m/>
    <m/>
    <m/>
    <m/>
    <m/>
    <m/>
    <m/>
    <m/>
    <n v="0"/>
    <n v="0"/>
    <n v="0"/>
    <n v="0"/>
    <m/>
    <m/>
    <n v="0"/>
    <n v="0"/>
    <m/>
    <m/>
    <n v="119556"/>
    <n v="103602"/>
    <n v="115400"/>
    <n v="91638"/>
    <n v="120685"/>
    <n v="198606"/>
    <n v="355641"/>
    <n v="395.15666666666669"/>
    <n v="393846"/>
    <n v="437.60666666666668"/>
    <m/>
    <m/>
    <n v="0"/>
    <n v="0"/>
    <m/>
    <m/>
    <m/>
    <m/>
    <m/>
    <m/>
    <m/>
    <m/>
    <n v="0"/>
    <n v="0"/>
    <n v="0"/>
    <n v="0"/>
    <n v="395.15666666666669"/>
    <n v="437.60666666666668"/>
  </r>
  <r>
    <x v="12"/>
    <s v="Tennessee Technology Center at Pulaski"/>
    <m/>
    <n v="221333"/>
    <x v="10"/>
    <s v="sem"/>
    <s v="sem"/>
    <m/>
    <m/>
    <m/>
    <m/>
    <m/>
    <m/>
    <m/>
    <m/>
    <n v="0"/>
    <n v="0"/>
    <n v="0"/>
    <n v="0"/>
    <m/>
    <m/>
    <n v="0"/>
    <n v="0"/>
    <m/>
    <m/>
    <n v="232952"/>
    <n v="167365"/>
    <n v="157834"/>
    <n v="74065"/>
    <n v="203201"/>
    <n v="241826"/>
    <n v="593987"/>
    <n v="659.98555555555561"/>
    <n v="483256"/>
    <n v="536.95111111111112"/>
    <m/>
    <m/>
    <n v="0"/>
    <n v="0"/>
    <m/>
    <m/>
    <m/>
    <m/>
    <m/>
    <m/>
    <m/>
    <m/>
    <n v="0"/>
    <n v="0"/>
    <n v="0"/>
    <n v="0"/>
    <n v="659.98555555555561"/>
    <n v="536.95111111111112"/>
  </r>
  <r>
    <x v="12"/>
    <s v="Tennessee Technology Center at Ripley"/>
    <m/>
    <n v="221388"/>
    <x v="10"/>
    <s v="sem"/>
    <s v="sem"/>
    <m/>
    <m/>
    <m/>
    <m/>
    <m/>
    <m/>
    <m/>
    <m/>
    <n v="0"/>
    <n v="0"/>
    <n v="0"/>
    <n v="0"/>
    <m/>
    <m/>
    <n v="0"/>
    <n v="0"/>
    <m/>
    <m/>
    <n v="74414"/>
    <n v="58840"/>
    <n v="60615"/>
    <n v="50002"/>
    <n v="68498"/>
    <n v="109238"/>
    <n v="203527"/>
    <n v="226.14111111111112"/>
    <n v="218080"/>
    <n v="242.3111111111111"/>
    <m/>
    <m/>
    <n v="0"/>
    <n v="0"/>
    <m/>
    <m/>
    <m/>
    <m/>
    <m/>
    <m/>
    <m/>
    <m/>
    <n v="0"/>
    <n v="0"/>
    <n v="0"/>
    <n v="0"/>
    <n v="226.14111111111112"/>
    <n v="242.3111111111111"/>
  </r>
  <r>
    <x v="12"/>
    <s v="Tennessee Technology Center at Shelbyville"/>
    <m/>
    <n v="221494"/>
    <x v="10"/>
    <s v="sem"/>
    <s v="sem"/>
    <m/>
    <m/>
    <m/>
    <m/>
    <m/>
    <m/>
    <m/>
    <m/>
    <n v="0"/>
    <n v="0"/>
    <n v="0"/>
    <n v="0"/>
    <m/>
    <m/>
    <n v="0"/>
    <n v="0"/>
    <m/>
    <m/>
    <n v="199142"/>
    <n v="155729"/>
    <n v="185014"/>
    <n v="144143"/>
    <n v="162360"/>
    <n v="302135"/>
    <n v="546516"/>
    <n v="607.24"/>
    <n v="602007"/>
    <n v="668.89666666666665"/>
    <m/>
    <m/>
    <n v="0"/>
    <n v="0"/>
    <m/>
    <m/>
    <m/>
    <m/>
    <m/>
    <m/>
    <m/>
    <m/>
    <n v="0"/>
    <n v="0"/>
    <n v="0"/>
    <n v="0"/>
    <n v="607.24"/>
    <n v="668.89666666666665"/>
  </r>
  <r>
    <x v="12"/>
    <s v="Tennessee Technology Center at Whiteville"/>
    <m/>
    <n v="221634"/>
    <x v="10"/>
    <s v="sem"/>
    <s v="sem"/>
    <m/>
    <m/>
    <m/>
    <m/>
    <m/>
    <m/>
    <m/>
    <m/>
    <n v="0"/>
    <n v="0"/>
    <n v="0"/>
    <n v="0"/>
    <m/>
    <m/>
    <n v="0"/>
    <n v="0"/>
    <m/>
    <m/>
    <n v="65932"/>
    <n v="62782"/>
    <n v="65208"/>
    <n v="54946"/>
    <n v="66464"/>
    <n v="118715"/>
    <n v="197604"/>
    <n v="219.56"/>
    <n v="236443"/>
    <n v="262.71444444444444"/>
    <m/>
    <m/>
    <n v="0"/>
    <n v="0"/>
    <m/>
    <m/>
    <m/>
    <m/>
    <m/>
    <m/>
    <m/>
    <m/>
    <n v="0"/>
    <n v="0"/>
    <n v="0"/>
    <n v="0"/>
    <n v="219.56"/>
    <n v="262.71444444444444"/>
  </r>
  <r>
    <x v="13"/>
    <s v="Texas A&amp;M University "/>
    <m/>
    <n v="228723"/>
    <x v="0"/>
    <s v="sem"/>
    <s v="sem"/>
    <m/>
    <m/>
    <n v="476016"/>
    <n v="482895"/>
    <n v="71205"/>
    <n v="69004"/>
    <n v="516377"/>
    <n v="526750"/>
    <n v="1063598"/>
    <n v="35453.26666666667"/>
    <n v="1078649"/>
    <n v="35954.966666666667"/>
    <n v="0"/>
    <n v="0"/>
    <n v="1063598"/>
    <n v="1078649"/>
    <m/>
    <m/>
    <m/>
    <m/>
    <m/>
    <m/>
    <m/>
    <m/>
    <n v="0"/>
    <n v="0"/>
    <n v="0"/>
    <n v="0"/>
    <m/>
    <m/>
    <n v="0"/>
    <n v="0"/>
    <m/>
    <m/>
    <n v="72085"/>
    <n v="71856"/>
    <n v="27859"/>
    <n v="26290"/>
    <n v="77545"/>
    <n v="78350"/>
    <n v="177489"/>
    <n v="7395.375"/>
    <n v="176496"/>
    <n v="7354"/>
    <n v="42848.64166666667"/>
    <n v="43308.966666666667"/>
  </r>
  <r>
    <x v="13"/>
    <s v="Texas Tech University "/>
    <m/>
    <n v="229115"/>
    <x v="0"/>
    <s v="sem"/>
    <s v="sem"/>
    <m/>
    <m/>
    <n v="294893"/>
    <n v="307954"/>
    <n v="56327"/>
    <n v="56185"/>
    <n v="337912"/>
    <n v="339414"/>
    <n v="689132"/>
    <n v="22971.066666666666"/>
    <n v="703553"/>
    <n v="23451.766666666666"/>
    <n v="0"/>
    <n v="0"/>
    <n v="689132"/>
    <n v="703553"/>
    <m/>
    <m/>
    <m/>
    <m/>
    <m/>
    <m/>
    <m/>
    <m/>
    <n v="0"/>
    <n v="0"/>
    <n v="0"/>
    <n v="0"/>
    <m/>
    <m/>
    <n v="0"/>
    <n v="0"/>
    <m/>
    <m/>
    <n v="47585"/>
    <n v="48305"/>
    <n v="21574"/>
    <n v="20755"/>
    <n v="49083"/>
    <n v="51353"/>
    <n v="118242"/>
    <n v="4926.75"/>
    <n v="120413"/>
    <n v="5017.208333333333"/>
    <n v="27897.816666666666"/>
    <n v="28468.974999999999"/>
  </r>
  <r>
    <x v="13"/>
    <s v="University of Houston"/>
    <m/>
    <n v="225511"/>
    <x v="0"/>
    <s v="sem"/>
    <s v="sem"/>
    <m/>
    <m/>
    <n v="321243"/>
    <n v="342055"/>
    <n v="62486"/>
    <n v="59414"/>
    <n v="357809"/>
    <n v="371406"/>
    <n v="741538"/>
    <n v="24717.933333333334"/>
    <n v="772875"/>
    <n v="25762.5"/>
    <n v="36"/>
    <n v="42"/>
    <n v="741538"/>
    <n v="772875"/>
    <m/>
    <m/>
    <m/>
    <m/>
    <m/>
    <m/>
    <m/>
    <m/>
    <n v="0"/>
    <n v="0"/>
    <n v="0"/>
    <n v="0"/>
    <m/>
    <m/>
    <n v="0"/>
    <n v="0"/>
    <m/>
    <m/>
    <n v="75178"/>
    <n v="76288"/>
    <n v="24910"/>
    <n v="24898"/>
    <n v="79454"/>
    <n v="78640"/>
    <n v="179542"/>
    <n v="7480.916666666667"/>
    <n v="179826"/>
    <n v="7492.75"/>
    <n v="32198.850000000002"/>
    <n v="33255.25"/>
  </r>
  <r>
    <x v="13"/>
    <s v="University of North Texas"/>
    <m/>
    <n v="227216"/>
    <x v="0"/>
    <s v="sem"/>
    <s v="sem"/>
    <m/>
    <m/>
    <n v="315379"/>
    <n v="322161"/>
    <n v="82427"/>
    <n v="78715"/>
    <n v="347531"/>
    <n v="348202"/>
    <n v="745337"/>
    <n v="24844.566666666666"/>
    <n v="749078"/>
    <n v="24969.266666666666"/>
    <n v="0"/>
    <n v="9"/>
    <n v="745337"/>
    <n v="749078"/>
    <m/>
    <m/>
    <m/>
    <m/>
    <m/>
    <m/>
    <m/>
    <m/>
    <n v="0"/>
    <n v="0"/>
    <n v="0"/>
    <n v="0"/>
    <m/>
    <m/>
    <n v="0"/>
    <n v="0"/>
    <m/>
    <m/>
    <n v="43205"/>
    <n v="45471"/>
    <n v="21200"/>
    <n v="19006"/>
    <n v="46742"/>
    <n v="45604"/>
    <n v="111147"/>
    <n v="4631.125"/>
    <n v="110081"/>
    <n v="4586.708333333333"/>
    <n v="29475.691666666666"/>
    <n v="29555.974999999999"/>
  </r>
  <r>
    <x v="13"/>
    <s v="University of Texas at Arlington"/>
    <m/>
    <n v="228769"/>
    <x v="0"/>
    <s v="sem"/>
    <s v="sem"/>
    <m/>
    <m/>
    <n v="238827"/>
    <n v="276224"/>
    <n v="77088"/>
    <n v="92280"/>
    <n v="260580"/>
    <n v="266722"/>
    <n v="576495"/>
    <n v="19216.5"/>
    <n v="635226"/>
    <n v="21174.2"/>
    <n v="7094"/>
    <n v="5900"/>
    <n v="576495"/>
    <n v="635226"/>
    <m/>
    <m/>
    <m/>
    <m/>
    <m/>
    <m/>
    <m/>
    <m/>
    <n v="0"/>
    <n v="0"/>
    <n v="0"/>
    <n v="0"/>
    <m/>
    <m/>
    <n v="0"/>
    <n v="0"/>
    <m/>
    <m/>
    <n v="45485"/>
    <n v="56387"/>
    <n v="28231"/>
    <n v="34695"/>
    <n v="49308"/>
    <n v="50079"/>
    <n v="123024"/>
    <n v="5126"/>
    <n v="141161"/>
    <n v="5881.708333333333"/>
    <n v="24342.5"/>
    <n v="27055.908333333333"/>
  </r>
  <r>
    <x v="13"/>
    <s v="University of Texas at Austin"/>
    <m/>
    <n v="228778"/>
    <x v="0"/>
    <s v="sem"/>
    <s v="sem"/>
    <m/>
    <m/>
    <n v="468870"/>
    <n v="473427"/>
    <n v="63187"/>
    <n v="63032"/>
    <n v="505648"/>
    <n v="507622"/>
    <n v="1037705"/>
    <n v="34590.166666666664"/>
    <n v="1044081"/>
    <n v="34802.699999999997"/>
    <n v="0"/>
    <n v="0"/>
    <n v="1037705"/>
    <n v="1044081"/>
    <m/>
    <m/>
    <m/>
    <m/>
    <m/>
    <m/>
    <m/>
    <m/>
    <n v="0"/>
    <n v="0"/>
    <n v="0"/>
    <n v="0"/>
    <m/>
    <m/>
    <n v="0"/>
    <n v="0"/>
    <m/>
    <m/>
    <n v="119216"/>
    <n v="119353"/>
    <n v="25498"/>
    <n v="25330"/>
    <n v="123866"/>
    <n v="124092"/>
    <n v="268580"/>
    <n v="11190.833333333334"/>
    <n v="268775"/>
    <n v="11198.958333333334"/>
    <n v="45781"/>
    <n v="46001.658333333333"/>
  </r>
  <r>
    <x v="13"/>
    <s v="University of Texas at Dallas"/>
    <m/>
    <n v="228787"/>
    <x v="0"/>
    <s v="sem"/>
    <s v="sem"/>
    <m/>
    <m/>
    <n v="114089"/>
    <n v="124322"/>
    <n v="21808"/>
    <n v="21405"/>
    <n v="132333"/>
    <n v="147398"/>
    <n v="268230"/>
    <n v="8941"/>
    <n v="293125"/>
    <n v="9770.8333333333339"/>
    <n v="0"/>
    <n v="0"/>
    <n v="268230"/>
    <n v="293125"/>
    <m/>
    <m/>
    <m/>
    <m/>
    <m/>
    <m/>
    <m/>
    <m/>
    <n v="0"/>
    <n v="0"/>
    <n v="0"/>
    <n v="0"/>
    <m/>
    <m/>
    <n v="0"/>
    <n v="0"/>
    <m/>
    <m/>
    <n v="45120"/>
    <n v="46614"/>
    <n v="21256"/>
    <n v="19490"/>
    <n v="48068"/>
    <n v="53976"/>
    <n v="114444"/>
    <n v="4768.5"/>
    <n v="120080"/>
    <n v="5003.333333333333"/>
    <n v="13709.5"/>
    <n v="14774.166666666668"/>
  </r>
  <r>
    <x v="13"/>
    <s v="Texas Woman's University"/>
    <s v="Met the criteria for Four-Year 1 in 2010-11 and 2011-12."/>
    <n v="229179"/>
    <x v="1"/>
    <s v="sem"/>
    <s v="sem"/>
    <m/>
    <m/>
    <n v="85897"/>
    <n v="93769"/>
    <n v="22998"/>
    <n v="22813"/>
    <n v="98973"/>
    <n v="104993"/>
    <n v="207868"/>
    <n v="6928.9333333333334"/>
    <n v="221575"/>
    <n v="7385.833333333333"/>
    <n v="0"/>
    <n v="0"/>
    <n v="207868"/>
    <n v="221575"/>
    <m/>
    <m/>
    <m/>
    <m/>
    <m/>
    <m/>
    <m/>
    <m/>
    <n v="0"/>
    <n v="0"/>
    <n v="0"/>
    <n v="0"/>
    <m/>
    <m/>
    <n v="0"/>
    <n v="0"/>
    <m/>
    <m/>
    <n v="37067"/>
    <n v="33912"/>
    <n v="24204"/>
    <n v="28120"/>
    <n v="38566"/>
    <n v="38991"/>
    <n v="99837"/>
    <n v="4159.875"/>
    <n v="101023"/>
    <n v="4209.291666666667"/>
    <n v="11088.808333333334"/>
    <n v="11595.125"/>
  </r>
  <r>
    <x v="13"/>
    <s v="University of Texas at El Paso"/>
    <m/>
    <n v="228796"/>
    <x v="1"/>
    <s v="sem"/>
    <s v="sem"/>
    <m/>
    <m/>
    <n v="182174"/>
    <n v="192515"/>
    <n v="53109"/>
    <n v="56925"/>
    <n v="200640"/>
    <n v="208966"/>
    <n v="435923"/>
    <n v="14530.766666666666"/>
    <n v="458406"/>
    <n v="15280.2"/>
    <n v="916"/>
    <n v="495"/>
    <n v="435923"/>
    <n v="458406"/>
    <m/>
    <m/>
    <m/>
    <m/>
    <m/>
    <m/>
    <m/>
    <m/>
    <n v="0"/>
    <n v="0"/>
    <n v="0"/>
    <n v="0"/>
    <m/>
    <m/>
    <n v="0"/>
    <n v="0"/>
    <m/>
    <m/>
    <n v="24275"/>
    <n v="25128"/>
    <n v="10848"/>
    <n v="11253"/>
    <n v="25016"/>
    <n v="24541"/>
    <n v="60139"/>
    <n v="2505.7916666666665"/>
    <n v="60922"/>
    <n v="2538.4166666666665"/>
    <n v="17036.558333333334"/>
    <n v="17818.616666666669"/>
  </r>
  <r>
    <x v="13"/>
    <s v="University of Texas at San Antonio"/>
    <m/>
    <n v="229027"/>
    <x v="1"/>
    <s v="sem"/>
    <s v="sem"/>
    <m/>
    <m/>
    <n v="270105"/>
    <n v="278553"/>
    <n v="57403"/>
    <n v="58082"/>
    <n v="304271"/>
    <n v="316003"/>
    <n v="631779"/>
    <n v="21059.3"/>
    <n v="652638"/>
    <n v="21754.6"/>
    <n v="3802"/>
    <n v="726"/>
    <n v="631779"/>
    <n v="652638"/>
    <m/>
    <m/>
    <m/>
    <m/>
    <m/>
    <m/>
    <m/>
    <m/>
    <n v="0"/>
    <n v="0"/>
    <n v="0"/>
    <n v="0"/>
    <m/>
    <m/>
    <n v="0"/>
    <n v="0"/>
    <m/>
    <m/>
    <n v="24815"/>
    <n v="28383"/>
    <n v="9775"/>
    <n v="10436"/>
    <n v="28568"/>
    <n v="31077"/>
    <n v="63158"/>
    <n v="2631.5833333333335"/>
    <n v="69896"/>
    <n v="2912.3333333333335"/>
    <n v="23690.883333333331"/>
    <n v="24666.933333333331"/>
  </r>
  <r>
    <x v="13"/>
    <s v="Angelo State University"/>
    <m/>
    <n v="222831"/>
    <x v="2"/>
    <s v="sem"/>
    <s v="sem"/>
    <m/>
    <m/>
    <n v="63208"/>
    <n v="65927"/>
    <n v="13641"/>
    <n v="12312"/>
    <n v="73435"/>
    <n v="73820"/>
    <n v="150284"/>
    <n v="5009.4666666666662"/>
    <n v="152059"/>
    <n v="5068.6333333333332"/>
    <n v="220"/>
    <n v="411"/>
    <n v="150284"/>
    <n v="152059"/>
    <m/>
    <m/>
    <m/>
    <m/>
    <m/>
    <m/>
    <m/>
    <m/>
    <n v="0"/>
    <n v="0"/>
    <n v="0"/>
    <n v="0"/>
    <m/>
    <m/>
    <n v="0"/>
    <n v="0"/>
    <m/>
    <m/>
    <n v="3717"/>
    <n v="5059"/>
    <n v="3479"/>
    <n v="4082"/>
    <n v="4657"/>
    <n v="5547"/>
    <n v="11853"/>
    <n v="493.875"/>
    <n v="14688"/>
    <n v="612"/>
    <n v="5503.3416666666662"/>
    <n v="5680.6333333333332"/>
  </r>
  <r>
    <x v="13"/>
    <s v="Lamar University"/>
    <m/>
    <n v="226091"/>
    <x v="2"/>
    <s v="sem"/>
    <s v="sem"/>
    <m/>
    <m/>
    <n v="98529"/>
    <n v="100855"/>
    <n v="24935"/>
    <n v="27853"/>
    <n v="108717"/>
    <n v="111067"/>
    <n v="232181"/>
    <n v="7739.3666666666668"/>
    <n v="239775"/>
    <n v="7992.5"/>
    <n v="2973"/>
    <n v="3546"/>
    <n v="232181"/>
    <n v="239775"/>
    <m/>
    <m/>
    <m/>
    <m/>
    <m/>
    <m/>
    <m/>
    <m/>
    <n v="0"/>
    <n v="0"/>
    <n v="0"/>
    <n v="0"/>
    <m/>
    <m/>
    <n v="0"/>
    <n v="0"/>
    <m/>
    <m/>
    <n v="36072"/>
    <n v="34182"/>
    <n v="34917"/>
    <n v="27577"/>
    <n v="27162"/>
    <n v="17028"/>
    <n v="98151"/>
    <n v="4089.625"/>
    <n v="78787"/>
    <n v="3282.7916666666665"/>
    <n v="11828.991666666667"/>
    <n v="11275.291666666666"/>
  </r>
  <r>
    <x v="13"/>
    <s v="Midwestern State University"/>
    <m/>
    <n v="226833"/>
    <x v="2"/>
    <s v="sem"/>
    <s v="sem"/>
    <m/>
    <m/>
    <n v="60085"/>
    <n v="61553"/>
    <n v="15891"/>
    <n v="15083"/>
    <n v="65816"/>
    <n v="62216"/>
    <n v="141792"/>
    <n v="4726.3999999999996"/>
    <n v="138852"/>
    <n v="4628.3999999999996"/>
    <n v="172"/>
    <n v="144"/>
    <n v="141792"/>
    <n v="138852"/>
    <m/>
    <m/>
    <m/>
    <m/>
    <m/>
    <m/>
    <m/>
    <m/>
    <n v="0"/>
    <n v="0"/>
    <n v="0"/>
    <n v="0"/>
    <m/>
    <m/>
    <n v="0"/>
    <n v="0"/>
    <m/>
    <m/>
    <n v="3175"/>
    <n v="3256"/>
    <n v="1853"/>
    <n v="1991"/>
    <n v="3328"/>
    <n v="3202"/>
    <n v="8356"/>
    <n v="348.16666666666669"/>
    <n v="8449"/>
    <n v="352.04166666666669"/>
    <n v="5074.5666666666666"/>
    <n v="4980.4416666666666"/>
  </r>
  <r>
    <x v="13"/>
    <s v="Prairie View A&amp;M University"/>
    <m/>
    <n v="227526"/>
    <x v="2"/>
    <s v="sem"/>
    <s v="sem"/>
    <m/>
    <m/>
    <n v="78714"/>
    <n v="81756"/>
    <n v="12852"/>
    <n v="11817"/>
    <n v="91324"/>
    <n v="87342"/>
    <n v="182890"/>
    <n v="6096.333333333333"/>
    <n v="180915"/>
    <n v="6030.5"/>
    <n v="0"/>
    <n v="0"/>
    <n v="182890"/>
    <n v="180915"/>
    <m/>
    <m/>
    <m/>
    <m/>
    <m/>
    <m/>
    <m/>
    <m/>
    <n v="0"/>
    <n v="0"/>
    <n v="0"/>
    <n v="0"/>
    <m/>
    <m/>
    <n v="0"/>
    <n v="0"/>
    <m/>
    <m/>
    <n v="13362"/>
    <n v="11686"/>
    <n v="6837"/>
    <n v="5543"/>
    <n v="12283"/>
    <n v="10825"/>
    <n v="32482"/>
    <n v="1353.4166666666667"/>
    <n v="28054"/>
    <n v="1168.9166666666667"/>
    <n v="7449.75"/>
    <n v="7199.416666666667"/>
  </r>
  <r>
    <x v="13"/>
    <s v="Sam Houston State University "/>
    <m/>
    <n v="227881"/>
    <x v="2"/>
    <s v="sem"/>
    <s v="sem"/>
    <m/>
    <m/>
    <n v="171757"/>
    <n v="177518"/>
    <n v="39803"/>
    <n v="37775"/>
    <n v="189475"/>
    <n v="188617"/>
    <n v="401035"/>
    <n v="13367.833333333334"/>
    <n v="403910"/>
    <n v="13463.666666666666"/>
    <n v="0"/>
    <n v="0"/>
    <n v="401035"/>
    <n v="403910"/>
    <m/>
    <m/>
    <m/>
    <m/>
    <m/>
    <m/>
    <m/>
    <m/>
    <n v="0"/>
    <n v="0"/>
    <n v="0"/>
    <n v="0"/>
    <m/>
    <m/>
    <n v="0"/>
    <n v="0"/>
    <m/>
    <m/>
    <n v="13141"/>
    <n v="15603"/>
    <n v="13106"/>
    <n v="12900"/>
    <n v="15478"/>
    <n v="14970"/>
    <n v="41725"/>
    <n v="1738.5416666666667"/>
    <n v="43473"/>
    <n v="1811.375"/>
    <n v="15106.375"/>
    <n v="15275.041666666666"/>
  </r>
  <r>
    <x v="13"/>
    <s v="Stephen F. Austin State University"/>
    <m/>
    <n v="228431"/>
    <x v="2"/>
    <s v="sem"/>
    <s v="sem"/>
    <m/>
    <m/>
    <n v="132130"/>
    <n v="130422"/>
    <n v="30945"/>
    <n v="29504"/>
    <n v="141614"/>
    <n v="142610"/>
    <n v="304689"/>
    <n v="10156.299999999999"/>
    <n v="302536"/>
    <n v="10084.533333333333"/>
    <n v="1947"/>
    <n v="1909"/>
    <n v="304689"/>
    <n v="302536"/>
    <m/>
    <m/>
    <m/>
    <m/>
    <m/>
    <m/>
    <m/>
    <m/>
    <n v="0"/>
    <n v="0"/>
    <n v="0"/>
    <n v="0"/>
    <m/>
    <m/>
    <n v="0"/>
    <n v="0"/>
    <m/>
    <m/>
    <n v="10430"/>
    <n v="9342"/>
    <n v="7093"/>
    <n v="5498"/>
    <n v="10190"/>
    <n v="9410"/>
    <n v="27713"/>
    <n v="1154.7083333333333"/>
    <n v="24250"/>
    <n v="1010.4166666666666"/>
    <n v="11311.008333333333"/>
    <n v="11094.949999999999"/>
  </r>
  <r>
    <x v="13"/>
    <s v="Sul Ross State University "/>
    <m/>
    <n v="228501"/>
    <x v="2"/>
    <s v="sem"/>
    <s v="sem"/>
    <m/>
    <m/>
    <n v="15822"/>
    <n v="16529"/>
    <n v="3102"/>
    <n v="2873"/>
    <n v="18002"/>
    <n v="18435"/>
    <n v="36926"/>
    <n v="1230.8666666666666"/>
    <n v="37837"/>
    <n v="1261.2333333333333"/>
    <n v="865"/>
    <n v="784"/>
    <n v="36926"/>
    <n v="37837"/>
    <m/>
    <m/>
    <m/>
    <m/>
    <m/>
    <m/>
    <m/>
    <m/>
    <n v="0"/>
    <n v="0"/>
    <n v="0"/>
    <n v="0"/>
    <m/>
    <m/>
    <n v="0"/>
    <n v="0"/>
    <m/>
    <m/>
    <n v="3181"/>
    <n v="3306"/>
    <n v="2912"/>
    <n v="2559"/>
    <n v="3171"/>
    <n v="3122"/>
    <n v="9264"/>
    <n v="386"/>
    <n v="8987"/>
    <n v="374.45833333333331"/>
    <n v="1616.8666666666666"/>
    <n v="1635.6916666666666"/>
  </r>
  <r>
    <x v="13"/>
    <s v="Tarleton State University"/>
    <m/>
    <n v="228529"/>
    <x v="2"/>
    <s v="sem"/>
    <s v="sem"/>
    <m/>
    <m/>
    <n v="80717"/>
    <n v="86497"/>
    <n v="21524"/>
    <n v="23214"/>
    <n v="93967"/>
    <n v="101496"/>
    <n v="196208"/>
    <n v="6540.2666666666664"/>
    <n v="211207"/>
    <n v="7040.2333333333336"/>
    <n v="0"/>
    <n v="0"/>
    <n v="196208"/>
    <n v="211207"/>
    <m/>
    <m/>
    <m/>
    <m/>
    <m/>
    <m/>
    <m/>
    <m/>
    <n v="0"/>
    <n v="0"/>
    <n v="0"/>
    <n v="0"/>
    <m/>
    <m/>
    <n v="0"/>
    <n v="0"/>
    <m/>
    <m/>
    <n v="6995"/>
    <n v="7866"/>
    <n v="6211"/>
    <n v="6390"/>
    <n v="8033"/>
    <n v="8184"/>
    <n v="21239"/>
    <n v="884.95833333333337"/>
    <n v="22440"/>
    <n v="935"/>
    <n v="7425.2249999999995"/>
    <n v="7975.2333333333336"/>
  </r>
  <r>
    <x v="13"/>
    <s v="Texas A&amp;M International University"/>
    <m/>
    <n v="226152"/>
    <x v="2"/>
    <s v="sem"/>
    <s v="sem"/>
    <m/>
    <m/>
    <n v="54326"/>
    <n v="59699"/>
    <n v="16808"/>
    <n v="16480"/>
    <n v="61902"/>
    <n v="64682"/>
    <n v="133036"/>
    <n v="4434.5333333333338"/>
    <n v="140861"/>
    <n v="4695.3666666666668"/>
    <n v="8476"/>
    <n v="8904"/>
    <n v="133036"/>
    <n v="140861"/>
    <m/>
    <m/>
    <m/>
    <m/>
    <m/>
    <m/>
    <m/>
    <m/>
    <n v="0"/>
    <n v="0"/>
    <n v="0"/>
    <n v="0"/>
    <m/>
    <m/>
    <n v="0"/>
    <n v="0"/>
    <m/>
    <m/>
    <n v="5796"/>
    <n v="5379"/>
    <n v="2894"/>
    <n v="2381"/>
    <n v="5530"/>
    <n v="4901"/>
    <n v="14220"/>
    <n v="592.5"/>
    <n v="12661"/>
    <n v="527.54166666666663"/>
    <n v="5027.0333333333338"/>
    <n v="5222.9083333333338"/>
  </r>
  <r>
    <x v="13"/>
    <s v="Texas A&amp;M University-Commerce"/>
    <m/>
    <n v="224554"/>
    <x v="2"/>
    <s v="sem"/>
    <s v="sem"/>
    <m/>
    <m/>
    <n v="60923"/>
    <n v="70278"/>
    <n v="16452"/>
    <n v="16936"/>
    <n v="71753"/>
    <n v="77029"/>
    <n v="149128"/>
    <n v="4970.9333333333334"/>
    <n v="164243"/>
    <n v="5474.7666666666664"/>
    <n v="582"/>
    <n v="1131"/>
    <n v="149128"/>
    <n v="164243"/>
    <m/>
    <m/>
    <m/>
    <m/>
    <m/>
    <m/>
    <m/>
    <m/>
    <n v="0"/>
    <n v="0"/>
    <n v="0"/>
    <n v="0"/>
    <m/>
    <m/>
    <n v="0"/>
    <n v="0"/>
    <m/>
    <m/>
    <n v="23076"/>
    <n v="27975"/>
    <n v="17136"/>
    <n v="16018"/>
    <n v="23988"/>
    <n v="26259"/>
    <n v="64200"/>
    <n v="2675"/>
    <n v="70252"/>
    <n v="2927.1666666666665"/>
    <n v="7645.9333333333334"/>
    <n v="8401.9333333333325"/>
  </r>
  <r>
    <x v="13"/>
    <s v="Texas A&amp;M University-Corpus Christi "/>
    <m/>
    <n v="224147"/>
    <x v="2"/>
    <s v="sem"/>
    <s v="sem"/>
    <m/>
    <m/>
    <n v="86466"/>
    <n v="91746"/>
    <n v="25254"/>
    <n v="26511"/>
    <n v="99148"/>
    <n v="101133"/>
    <n v="210868"/>
    <n v="7028.9333333333334"/>
    <n v="219390"/>
    <n v="7313"/>
    <n v="3"/>
    <n v="1388"/>
    <n v="210868"/>
    <n v="219390"/>
    <m/>
    <m/>
    <m/>
    <m/>
    <m/>
    <m/>
    <m/>
    <m/>
    <n v="0"/>
    <n v="0"/>
    <n v="0"/>
    <n v="0"/>
    <m/>
    <m/>
    <n v="0"/>
    <n v="0"/>
    <m/>
    <m/>
    <n v="11137"/>
    <n v="11468"/>
    <n v="7774"/>
    <n v="7706"/>
    <n v="12120"/>
    <n v="11520"/>
    <n v="31031"/>
    <n v="1292.9583333333333"/>
    <n v="30694"/>
    <n v="1278.9166666666667"/>
    <n v="8321.8916666666664"/>
    <n v="8591.9166666666661"/>
  </r>
  <r>
    <x v="13"/>
    <s v="Texas A&amp;M University-Kingsville"/>
    <m/>
    <n v="228705"/>
    <x v="2"/>
    <s v="sem"/>
    <s v="sem"/>
    <m/>
    <m/>
    <n v="53523"/>
    <n v="59321"/>
    <n v="11811"/>
    <n v="12071"/>
    <n v="65913"/>
    <n v="68663"/>
    <n v="131247"/>
    <n v="4374.8999999999996"/>
    <n v="140055"/>
    <n v="4668.5"/>
    <n v="911"/>
    <n v="2469"/>
    <n v="131247"/>
    <n v="140055"/>
    <m/>
    <m/>
    <m/>
    <m/>
    <m/>
    <m/>
    <m/>
    <m/>
    <n v="0"/>
    <n v="0"/>
    <n v="0"/>
    <n v="0"/>
    <m/>
    <m/>
    <n v="0"/>
    <n v="0"/>
    <m/>
    <m/>
    <n v="8246"/>
    <n v="8680"/>
    <n v="4690"/>
    <n v="4529"/>
    <n v="8555"/>
    <n v="8286"/>
    <n v="21491"/>
    <n v="895.45833333333337"/>
    <n v="21495"/>
    <n v="895.625"/>
    <n v="5270.3583333333327"/>
    <n v="5564.125"/>
  </r>
  <r>
    <x v="13"/>
    <s v="Texas Southern University "/>
    <m/>
    <n v="229063"/>
    <x v="2"/>
    <s v="sem"/>
    <s v="sem"/>
    <m/>
    <m/>
    <n v="83704"/>
    <n v="79547"/>
    <n v="15919"/>
    <n v="15051"/>
    <n v="88692"/>
    <n v="86507"/>
    <n v="188315"/>
    <n v="6277.166666666667"/>
    <n v="181105"/>
    <n v="6036.833333333333"/>
    <n v="0"/>
    <n v="0"/>
    <n v="188315"/>
    <n v="181105"/>
    <m/>
    <m/>
    <m/>
    <m/>
    <m/>
    <m/>
    <m/>
    <m/>
    <n v="0"/>
    <n v="0"/>
    <n v="0"/>
    <n v="0"/>
    <m/>
    <m/>
    <n v="0"/>
    <n v="0"/>
    <m/>
    <m/>
    <n v="22455"/>
    <n v="25298"/>
    <n v="5710"/>
    <n v="6827"/>
    <n v="25441"/>
    <n v="27072"/>
    <n v="53606"/>
    <n v="2233.5833333333335"/>
    <n v="59197"/>
    <n v="2466.5416666666665"/>
    <n v="8510.75"/>
    <n v="8503.375"/>
  </r>
  <r>
    <x v="13"/>
    <s v="Texas State University-San Marcos"/>
    <m/>
    <n v="228459"/>
    <x v="2"/>
    <s v="sem"/>
    <s v="sem"/>
    <m/>
    <m/>
    <n v="301995"/>
    <n v="321170"/>
    <n v="66128"/>
    <n v="66826"/>
    <n v="343769"/>
    <n v="360420"/>
    <n v="711892"/>
    <n v="23729.733333333334"/>
    <n v="748416"/>
    <n v="24947.200000000001"/>
    <n v="0"/>
    <n v="0"/>
    <n v="711892"/>
    <n v="748416"/>
    <m/>
    <m/>
    <m/>
    <m/>
    <m/>
    <m/>
    <m/>
    <m/>
    <n v="0"/>
    <n v="0"/>
    <n v="0"/>
    <n v="0"/>
    <m/>
    <m/>
    <n v="0"/>
    <n v="0"/>
    <m/>
    <m/>
    <n v="30569"/>
    <n v="32041"/>
    <n v="14612"/>
    <n v="13597"/>
    <n v="32865"/>
    <n v="33972"/>
    <n v="78046"/>
    <n v="3251.9166666666665"/>
    <n v="79610"/>
    <n v="3317.0833333333335"/>
    <n v="26981.65"/>
    <n v="28264.283333333333"/>
  </r>
  <r>
    <x v="13"/>
    <s v="University of Houston-Clear Lake "/>
    <m/>
    <n v="225414"/>
    <x v="2"/>
    <s v="sem"/>
    <s v="sem"/>
    <m/>
    <m/>
    <n v="43103"/>
    <n v="45981"/>
    <n v="14695"/>
    <n v="14140"/>
    <n v="45702"/>
    <n v="46189"/>
    <n v="103500"/>
    <n v="3450"/>
    <n v="106310"/>
    <n v="3543.6666666666665"/>
    <n v="0"/>
    <n v="0"/>
    <n v="103500"/>
    <n v="106310"/>
    <m/>
    <m/>
    <m/>
    <m/>
    <m/>
    <m/>
    <m/>
    <m/>
    <n v="0"/>
    <n v="0"/>
    <n v="0"/>
    <n v="0"/>
    <m/>
    <m/>
    <n v="0"/>
    <n v="0"/>
    <m/>
    <m/>
    <n v="21768"/>
    <n v="21880"/>
    <n v="9400"/>
    <n v="9328"/>
    <n v="22279"/>
    <n v="22596"/>
    <n v="53447"/>
    <n v="2226.9583333333335"/>
    <n v="53804"/>
    <n v="2241.8333333333335"/>
    <n v="5676.9583333333339"/>
    <n v="5785.5"/>
  </r>
  <r>
    <x v="13"/>
    <s v="University of Texas at Brownsville"/>
    <m/>
    <n v="227377"/>
    <x v="2"/>
    <s v="sem"/>
    <s v="sem"/>
    <m/>
    <m/>
    <n v="37074"/>
    <n v="38999"/>
    <n v="12864"/>
    <n v="12697"/>
    <n v="46743"/>
    <n v="51008"/>
    <n v="96681"/>
    <n v="3222.7"/>
    <n v="102704"/>
    <n v="3423.4666666666667"/>
    <n v="6913"/>
    <n v="7547"/>
    <n v="96681"/>
    <n v="102704"/>
    <m/>
    <m/>
    <m/>
    <m/>
    <m/>
    <m/>
    <m/>
    <m/>
    <n v="0"/>
    <n v="0"/>
    <n v="0"/>
    <n v="0"/>
    <m/>
    <m/>
    <n v="0"/>
    <n v="0"/>
    <m/>
    <m/>
    <n v="4526"/>
    <n v="5110"/>
    <n v="2832"/>
    <n v="2661"/>
    <n v="4999"/>
    <n v="5912"/>
    <n v="12357"/>
    <n v="514.875"/>
    <n v="13683"/>
    <n v="570.125"/>
    <n v="3737.5749999999998"/>
    <n v="3993.5916666666667"/>
  </r>
  <r>
    <x v="13"/>
    <s v="University of Texas at Tyler"/>
    <m/>
    <n v="228802"/>
    <x v="2"/>
    <s v="sem"/>
    <s v="sem"/>
    <m/>
    <m/>
    <n v="56572"/>
    <n v="56557"/>
    <n v="8002"/>
    <n v="8668"/>
    <n v="60461"/>
    <n v="61301"/>
    <n v="125035"/>
    <n v="4167.833333333333"/>
    <n v="126526"/>
    <n v="4217.5333333333338"/>
    <n v="0"/>
    <n v="0"/>
    <n v="125035"/>
    <n v="126526"/>
    <m/>
    <m/>
    <m/>
    <m/>
    <m/>
    <m/>
    <m/>
    <m/>
    <n v="0"/>
    <n v="0"/>
    <n v="0"/>
    <n v="0"/>
    <m/>
    <m/>
    <n v="0"/>
    <n v="0"/>
    <m/>
    <m/>
    <n v="6820"/>
    <n v="8571"/>
    <n v="4034"/>
    <n v="5098"/>
    <n v="8246"/>
    <n v="9792"/>
    <n v="19100"/>
    <n v="795.83333333333337"/>
    <n v="23461"/>
    <n v="977.54166666666663"/>
    <n v="4963.6666666666661"/>
    <n v="5195.0750000000007"/>
  </r>
  <r>
    <x v="13"/>
    <s v="University of Texas of the Permian Basin"/>
    <s v="Reclassified: Met the criteria for Four-Year 3 in 2009-10, 2010-11 and 2011-12."/>
    <n v="229018"/>
    <x v="2"/>
    <s v="sem"/>
    <s v="sem"/>
    <m/>
    <m/>
    <n v="30827"/>
    <n v="33947"/>
    <n v="6945"/>
    <n v="7048"/>
    <n v="36240"/>
    <n v="35149"/>
    <n v="74012"/>
    <n v="2467.0666666666666"/>
    <n v="76144"/>
    <n v="2538.1333333333332"/>
    <n v="2679"/>
    <n v="3182"/>
    <n v="74012"/>
    <n v="76144"/>
    <m/>
    <m/>
    <m/>
    <m/>
    <m/>
    <m/>
    <m/>
    <m/>
    <n v="0"/>
    <n v="0"/>
    <n v="0"/>
    <n v="0"/>
    <m/>
    <m/>
    <n v="0"/>
    <n v="0"/>
    <m/>
    <m/>
    <n v="3452"/>
    <n v="3361"/>
    <n v="2658"/>
    <n v="2402"/>
    <n v="3919"/>
    <n v="3148"/>
    <n v="10029"/>
    <n v="417.875"/>
    <n v="8911"/>
    <n v="371.29166666666669"/>
    <n v="2884.9416666666666"/>
    <n v="2909.4249999999997"/>
  </r>
  <r>
    <x v="13"/>
    <s v="University of Texas-Pan American"/>
    <m/>
    <n v="227368"/>
    <x v="2"/>
    <s v="sem"/>
    <s v="sem"/>
    <m/>
    <m/>
    <n v="169654"/>
    <n v="172535"/>
    <n v="75680"/>
    <n v="71749"/>
    <n v="187489"/>
    <n v="190475"/>
    <n v="432823"/>
    <n v="14427.433333333332"/>
    <n v="434759"/>
    <n v="14491.966666666667"/>
    <n v="5431"/>
    <n v="4352"/>
    <n v="432823"/>
    <n v="434759"/>
    <m/>
    <m/>
    <m/>
    <m/>
    <m/>
    <m/>
    <m/>
    <m/>
    <n v="0"/>
    <n v="0"/>
    <n v="0"/>
    <n v="0"/>
    <m/>
    <m/>
    <n v="0"/>
    <n v="0"/>
    <m/>
    <m/>
    <n v="16143"/>
    <n v="16607"/>
    <n v="9717"/>
    <n v="9136"/>
    <n v="17369"/>
    <n v="17125"/>
    <n v="43229"/>
    <n v="1801.2083333333333"/>
    <n v="42868"/>
    <n v="1786.1666666666667"/>
    <n v="16228.641666666666"/>
    <n v="16278.133333333333"/>
  </r>
  <r>
    <x v="13"/>
    <s v="West Texas A&amp;M University"/>
    <m/>
    <n v="229814"/>
    <x v="2"/>
    <s v="sem"/>
    <s v="sem"/>
    <m/>
    <m/>
    <n v="71478"/>
    <n v="75667"/>
    <n v="14407"/>
    <n v="14088"/>
    <n v="81865"/>
    <n v="82848"/>
    <n v="167750"/>
    <n v="5591.666666666667"/>
    <n v="172603"/>
    <n v="5753.4333333333334"/>
    <n v="0"/>
    <n v="0"/>
    <n v="167750"/>
    <n v="172603"/>
    <m/>
    <m/>
    <m/>
    <m/>
    <m/>
    <m/>
    <m/>
    <m/>
    <n v="0"/>
    <n v="0"/>
    <n v="0"/>
    <n v="0"/>
    <m/>
    <m/>
    <n v="0"/>
    <n v="0"/>
    <m/>
    <m/>
    <n v="7354"/>
    <n v="7627"/>
    <n v="5473"/>
    <n v="4558"/>
    <n v="7442"/>
    <n v="7913"/>
    <n v="20269"/>
    <n v="844.54166666666663"/>
    <n v="20098"/>
    <n v="837.41666666666663"/>
    <n v="6436.2083333333339"/>
    <n v="6590.85"/>
  </r>
  <r>
    <x v="13"/>
    <s v="Texas A&amp;M -Texarkana"/>
    <m/>
    <n v="224545"/>
    <x v="3"/>
    <s v="sem"/>
    <s v="sem"/>
    <m/>
    <m/>
    <n v="10458"/>
    <n v="13019"/>
    <n v="3636"/>
    <n v="3367"/>
    <n v="13187"/>
    <n v="16519"/>
    <n v="27281"/>
    <n v="909.36666666666667"/>
    <n v="32905"/>
    <n v="1096.8333333333333"/>
    <n v="15"/>
    <n v="16"/>
    <n v="27281"/>
    <n v="32905"/>
    <m/>
    <m/>
    <m/>
    <m/>
    <m/>
    <m/>
    <m/>
    <m/>
    <n v="0"/>
    <n v="0"/>
    <n v="0"/>
    <n v="0"/>
    <m/>
    <m/>
    <n v="0"/>
    <n v="0"/>
    <m/>
    <m/>
    <n v="3108"/>
    <n v="3203"/>
    <n v="3723"/>
    <n v="1929"/>
    <n v="2890"/>
    <n v="2473"/>
    <n v="9721"/>
    <n v="405.04166666666669"/>
    <n v="7605"/>
    <n v="316.875"/>
    <n v="1314.4083333333333"/>
    <n v="1413.7083333333333"/>
  </r>
  <r>
    <x v="13"/>
    <s v="University of Houston-Victoria"/>
    <m/>
    <n v="225502"/>
    <x v="3"/>
    <s v="sem"/>
    <s v="sem"/>
    <m/>
    <m/>
    <n v="18973"/>
    <n v="23743"/>
    <n v="8297"/>
    <n v="9065"/>
    <n v="22413"/>
    <n v="25288"/>
    <n v="49683"/>
    <n v="1656.1"/>
    <n v="58096"/>
    <n v="1936.5333333333333"/>
    <n v="0"/>
    <n v="0"/>
    <n v="49683"/>
    <n v="58096"/>
    <m/>
    <m/>
    <m/>
    <m/>
    <m/>
    <m/>
    <m/>
    <m/>
    <n v="0"/>
    <n v="0"/>
    <n v="0"/>
    <n v="0"/>
    <m/>
    <m/>
    <n v="0"/>
    <n v="0"/>
    <m/>
    <m/>
    <n v="10260"/>
    <n v="11076"/>
    <n v="6072"/>
    <n v="5553"/>
    <n v="10854"/>
    <n v="10605"/>
    <n v="27186"/>
    <n v="1132.75"/>
    <n v="27234"/>
    <n v="1134.75"/>
    <n v="2788.85"/>
    <n v="3071.2833333333333"/>
  </r>
  <r>
    <x v="13"/>
    <s v="Sul Ross State University-Rio Grande College"/>
    <m/>
    <s v="228501B"/>
    <x v="4"/>
    <s v="sem"/>
    <s v="sem"/>
    <m/>
    <m/>
    <n v="6778"/>
    <n v="6668"/>
    <n v="3735"/>
    <n v="3639"/>
    <n v="7082"/>
    <n v="6552"/>
    <n v="17595"/>
    <n v="586.5"/>
    <n v="16859"/>
    <n v="561.9666666666667"/>
    <n v="0"/>
    <n v="0"/>
    <n v="17595"/>
    <n v="16859"/>
    <m/>
    <m/>
    <m/>
    <m/>
    <m/>
    <m/>
    <m/>
    <m/>
    <n v="0"/>
    <n v="0"/>
    <n v="0"/>
    <n v="0"/>
    <m/>
    <m/>
    <n v="0"/>
    <n v="0"/>
    <m/>
    <m/>
    <n v="1389"/>
    <n v="1419"/>
    <n v="969"/>
    <n v="789"/>
    <n v="1254"/>
    <n v="1068"/>
    <n v="3612"/>
    <n v="150.5"/>
    <n v="3276"/>
    <n v="136.5"/>
    <n v="737"/>
    <n v="698.4666666666667"/>
  </r>
  <r>
    <x v="13"/>
    <s v="University of Houston-Downtown"/>
    <m/>
    <n v="225432"/>
    <x v="4"/>
    <s v="sem"/>
    <s v="sem"/>
    <m/>
    <m/>
    <n v="112973"/>
    <n v="116033"/>
    <n v="31928"/>
    <n v="31347"/>
    <n v="119239"/>
    <n v="120657"/>
    <n v="264140"/>
    <n v="8804.6666666666661"/>
    <n v="268037"/>
    <n v="8934.5666666666675"/>
    <n v="543"/>
    <n v="373"/>
    <n v="264140"/>
    <n v="268037"/>
    <m/>
    <m/>
    <m/>
    <m/>
    <m/>
    <m/>
    <m/>
    <m/>
    <n v="0"/>
    <n v="0"/>
    <n v="0"/>
    <n v="0"/>
    <m/>
    <m/>
    <n v="0"/>
    <n v="0"/>
    <m/>
    <m/>
    <n v="861"/>
    <n v="786"/>
    <n v="384"/>
    <n v="420"/>
    <n v="768"/>
    <n v="963"/>
    <n v="2013"/>
    <n v="83.875"/>
    <n v="2169"/>
    <n v="90.375"/>
    <n v="8888.5416666666661"/>
    <n v="9024.9416666666675"/>
  </r>
  <r>
    <x v="13"/>
    <s v="Texas A&amp;M University at Galveston"/>
    <m/>
    <n v="228714"/>
    <x v="5"/>
    <s v="sem"/>
    <s v="sem"/>
    <m/>
    <m/>
    <n v="20654"/>
    <n v="23424"/>
    <n v="3805"/>
    <n v="4200"/>
    <n v="25022"/>
    <n v="26542"/>
    <n v="49481"/>
    <n v="1649.3666666666666"/>
    <n v="54166"/>
    <n v="1805.5333333333333"/>
    <n v="0"/>
    <n v="0"/>
    <n v="49481"/>
    <n v="54166"/>
    <m/>
    <m/>
    <m/>
    <m/>
    <m/>
    <m/>
    <m/>
    <m/>
    <n v="0"/>
    <n v="0"/>
    <n v="0"/>
    <n v="0"/>
    <m/>
    <m/>
    <n v="0"/>
    <n v="0"/>
    <m/>
    <m/>
    <n v="407"/>
    <n v="494"/>
    <n v="137"/>
    <n v="187"/>
    <n v="452"/>
    <n v="530"/>
    <n v="996"/>
    <n v="41.5"/>
    <n v="1211"/>
    <n v="50.458333333333336"/>
    <n v="1690.8666666666666"/>
    <n v="1855.9916666666666"/>
  </r>
  <r>
    <x v="13"/>
    <s v="Brazosport College "/>
    <m/>
    <n v="223506"/>
    <x v="11"/>
    <s v="sem"/>
    <s v="sem"/>
    <n v="29763"/>
    <n v="33617"/>
    <n v="11013"/>
    <n v="10798"/>
    <n v="3264"/>
    <n v="3216"/>
    <n v="34688"/>
    <n v="34167"/>
    <n v="78728"/>
    <n v="2624.2666666666669"/>
    <n v="81798"/>
    <n v="2726.6"/>
    <n v="11131"/>
    <n v="12243"/>
    <n v="78728"/>
    <n v="81798"/>
    <n v="11039"/>
    <n v="18371"/>
    <n v="12092"/>
    <n v="7152"/>
    <n v="19919"/>
    <n v="12866"/>
    <n v="16742"/>
    <n v="10502"/>
    <n v="59792"/>
    <n v="66.435555555555553"/>
    <n v="48891"/>
    <n v="54.323333333333331"/>
    <m/>
    <m/>
    <n v="0"/>
    <n v="0"/>
    <m/>
    <m/>
    <m/>
    <m/>
    <m/>
    <m/>
    <m/>
    <m/>
    <n v="0"/>
    <n v="0"/>
    <n v="0"/>
    <n v="0"/>
    <n v="2690.7022222222226"/>
    <n v="2780.9233333333332"/>
  </r>
  <r>
    <x v="13"/>
    <s v="Midland College "/>
    <m/>
    <n v="226806"/>
    <x v="11"/>
    <s v="sem"/>
    <s v="sem"/>
    <n v="50278"/>
    <n v="51588"/>
    <n v="12247"/>
    <n v="13589"/>
    <n v="11390"/>
    <n v="10307"/>
    <n v="51523"/>
    <n v="48132"/>
    <n v="125438"/>
    <n v="4181.2666666666664"/>
    <n v="123616"/>
    <n v="4120.5333333333338"/>
    <n v="9143"/>
    <n v="7934"/>
    <n v="125438"/>
    <n v="123616"/>
    <n v="37048"/>
    <n v="42506"/>
    <n v="42666"/>
    <n v="60064"/>
    <n v="33236"/>
    <n v="48889"/>
    <n v="47166"/>
    <n v="57666"/>
    <n v="160116"/>
    <n v="177.90666666666667"/>
    <n v="209125"/>
    <n v="232.36111111111111"/>
    <m/>
    <m/>
    <n v="0"/>
    <n v="0"/>
    <m/>
    <m/>
    <m/>
    <m/>
    <m/>
    <m/>
    <m/>
    <m/>
    <n v="0"/>
    <n v="0"/>
    <n v="0"/>
    <n v="0"/>
    <n v="4359.1733333333332"/>
    <n v="4352.8944444444451"/>
  </r>
  <r>
    <x v="13"/>
    <s v="South Texas College"/>
    <m/>
    <n v="409315"/>
    <x v="11"/>
    <s v="sem"/>
    <s v="sem"/>
    <n v="219071"/>
    <n v="229196"/>
    <n v="49384"/>
    <n v="46364"/>
    <n v="39725"/>
    <n v="38815"/>
    <n v="235760"/>
    <n v="248052"/>
    <n v="543940"/>
    <n v="18131.333333333332"/>
    <n v="562427"/>
    <n v="18747.566666666666"/>
    <n v="98703"/>
    <n v="107334"/>
    <n v="543940"/>
    <n v="562427"/>
    <n v="52437"/>
    <n v="27394"/>
    <n v="68343"/>
    <n v="40064"/>
    <n v="95442"/>
    <n v="54817"/>
    <n v="53904"/>
    <n v="43514"/>
    <n v="270126"/>
    <n v="300.14"/>
    <n v="165789"/>
    <n v="184.21"/>
    <m/>
    <m/>
    <n v="0"/>
    <n v="0"/>
    <m/>
    <m/>
    <m/>
    <m/>
    <m/>
    <m/>
    <m/>
    <m/>
    <n v="0"/>
    <n v="0"/>
    <n v="0"/>
    <n v="0"/>
    <n v="18431.473333333332"/>
    <n v="18931.776666666665"/>
  </r>
  <r>
    <x v="13"/>
    <s v="Amarillo College "/>
    <m/>
    <n v="222576"/>
    <x v="6"/>
    <s v="sem"/>
    <s v="sem"/>
    <n v="90089"/>
    <n v="93647"/>
    <n v="28721"/>
    <n v="25696"/>
    <n v="0"/>
    <n v="0"/>
    <n v="94565"/>
    <n v="92437"/>
    <n v="213375"/>
    <n v="7112.5"/>
    <n v="211780"/>
    <n v="7059.333333333333"/>
    <n v="20008"/>
    <n v="20284"/>
    <n v="213375"/>
    <n v="211780"/>
    <n v="125072"/>
    <n v="122097"/>
    <n v="131462"/>
    <n v="125316"/>
    <n v="117179"/>
    <n v="123689"/>
    <n v="149263"/>
    <n v="134519"/>
    <n v="522976"/>
    <n v="581.08444444444444"/>
    <n v="505621"/>
    <n v="561.80111111111114"/>
    <m/>
    <m/>
    <n v="0"/>
    <n v="0"/>
    <m/>
    <m/>
    <m/>
    <m/>
    <m/>
    <m/>
    <m/>
    <m/>
    <n v="0"/>
    <n v="0"/>
    <n v="0"/>
    <n v="0"/>
    <n v="7693.5844444444447"/>
    <n v="7621.1344444444439"/>
  </r>
  <r>
    <x v="13"/>
    <s v="Austin Community College "/>
    <m/>
    <n v="222992"/>
    <x v="6"/>
    <s v="sem"/>
    <s v="sem"/>
    <n v="317360"/>
    <n v="344605"/>
    <n v="187743"/>
    <n v="185154"/>
    <n v="0"/>
    <n v="0"/>
    <n v="311359"/>
    <n v="306105"/>
    <n v="816462"/>
    <n v="27215.4"/>
    <n v="835864"/>
    <n v="27862.133333333335"/>
    <n v="48021"/>
    <n v="50586"/>
    <n v="816462"/>
    <n v="835864"/>
    <n v="107160"/>
    <n v="96828"/>
    <n v="72362"/>
    <n v="106623"/>
    <n v="97727"/>
    <n v="116457"/>
    <n v="96772"/>
    <n v="106873"/>
    <n v="374021"/>
    <n v="415.57888888888891"/>
    <n v="426781"/>
    <n v="474.20111111111112"/>
    <m/>
    <m/>
    <n v="0"/>
    <n v="0"/>
    <m/>
    <m/>
    <m/>
    <m/>
    <m/>
    <m/>
    <m/>
    <m/>
    <n v="0"/>
    <n v="0"/>
    <n v="0"/>
    <n v="0"/>
    <n v="27630.978888888891"/>
    <n v="28336.334444444445"/>
  </r>
  <r>
    <x v="13"/>
    <s v="Blinn College "/>
    <m/>
    <n v="223427"/>
    <x v="6"/>
    <s v="sem"/>
    <s v="sem"/>
    <n v="161949"/>
    <n v="164807"/>
    <n v="31463"/>
    <n v="30098"/>
    <n v="18149"/>
    <n v="17968"/>
    <n v="178016"/>
    <n v="183245"/>
    <n v="389577"/>
    <n v="12985.9"/>
    <n v="396118"/>
    <n v="13203.933333333332"/>
    <n v="13417"/>
    <n v="12947"/>
    <n v="389577"/>
    <n v="396118"/>
    <n v="35117"/>
    <n v="45281"/>
    <n v="37856"/>
    <n v="35766"/>
    <n v="45409"/>
    <n v="33585"/>
    <n v="60587"/>
    <n v="47267"/>
    <n v="178969"/>
    <n v="198.85444444444445"/>
    <n v="161899"/>
    <n v="179.88777777777779"/>
    <m/>
    <m/>
    <n v="0"/>
    <n v="0"/>
    <m/>
    <m/>
    <m/>
    <m/>
    <m/>
    <m/>
    <m/>
    <m/>
    <n v="0"/>
    <n v="0"/>
    <n v="0"/>
    <n v="0"/>
    <n v="13184.754444444445"/>
    <n v="13383.82111111111"/>
  </r>
  <r>
    <x v="13"/>
    <s v="Brookhaven College  (DCCCD)"/>
    <m/>
    <n v="223524"/>
    <x v="6"/>
    <s v="sem"/>
    <s v="sem"/>
    <n v="86667"/>
    <n v="89352"/>
    <n v="35980"/>
    <n v="33853"/>
    <n v="18009"/>
    <n v="17093"/>
    <n v="75394"/>
    <n v="74937"/>
    <n v="216050"/>
    <n v="7201.666666666667"/>
    <n v="215235"/>
    <n v="7174.5"/>
    <n v="7772"/>
    <n v="9195"/>
    <n v="216050"/>
    <n v="215235"/>
    <n v="89100"/>
    <n v="72299"/>
    <n v="94562"/>
    <n v="75368"/>
    <n v="87845"/>
    <n v="54799"/>
    <n v="106991"/>
    <n v="76757"/>
    <n v="378498"/>
    <n v="420.55333333333334"/>
    <n v="279223"/>
    <n v="310.2477777777778"/>
    <m/>
    <m/>
    <n v="0"/>
    <n v="0"/>
    <m/>
    <m/>
    <m/>
    <m/>
    <m/>
    <m/>
    <m/>
    <m/>
    <n v="0"/>
    <n v="0"/>
    <n v="0"/>
    <n v="0"/>
    <n v="7622.22"/>
    <n v="7484.7477777777776"/>
  </r>
  <r>
    <x v="13"/>
    <s v="Central Texas College "/>
    <m/>
    <n v="223816"/>
    <x v="6"/>
    <s v="sem"/>
    <s v="sem"/>
    <n v="108879"/>
    <n v="126523"/>
    <n v="98194"/>
    <n v="92122"/>
    <n v="6014"/>
    <n v="5181"/>
    <n v="98775"/>
    <n v="96668"/>
    <n v="311862"/>
    <n v="10395.4"/>
    <n v="320494"/>
    <n v="10683.133333333333"/>
    <n v="15847"/>
    <n v="19759"/>
    <n v="311862"/>
    <n v="320494"/>
    <n v="88561"/>
    <n v="99494"/>
    <n v="114912"/>
    <n v="115731"/>
    <n v="114472"/>
    <n v="84710"/>
    <n v="113233"/>
    <n v="98587"/>
    <n v="431178"/>
    <n v="479.08666666666664"/>
    <n v="398522"/>
    <n v="442.80222222222221"/>
    <m/>
    <m/>
    <n v="0"/>
    <n v="0"/>
    <m/>
    <m/>
    <m/>
    <m/>
    <m/>
    <m/>
    <m/>
    <m/>
    <n v="0"/>
    <n v="0"/>
    <n v="0"/>
    <n v="0"/>
    <n v="10874.486666666666"/>
    <n v="11125.935555555556"/>
  </r>
  <r>
    <x v="13"/>
    <s v="Collin County Community College District"/>
    <m/>
    <n v="247834"/>
    <x v="6"/>
    <s v="sem"/>
    <s v="sem"/>
    <n v="217884"/>
    <n v="223300"/>
    <n v="47203"/>
    <n v="47013"/>
    <n v="40030"/>
    <n v="40934"/>
    <n v="223173"/>
    <n v="226025"/>
    <n v="528290"/>
    <n v="17609.666666666668"/>
    <n v="537272"/>
    <n v="17909.066666666666"/>
    <n v="18884"/>
    <n v="21365"/>
    <n v="528290"/>
    <n v="537272"/>
    <n v="128068"/>
    <n v="129730"/>
    <n v="139694"/>
    <n v="99184"/>
    <n v="122987"/>
    <n v="127316"/>
    <n v="174611"/>
    <n v="180375"/>
    <n v="565360"/>
    <n v="628.17777777777781"/>
    <n v="536605"/>
    <n v="596.22777777777776"/>
    <m/>
    <m/>
    <n v="0"/>
    <n v="0"/>
    <m/>
    <m/>
    <m/>
    <m/>
    <m/>
    <m/>
    <m/>
    <m/>
    <n v="0"/>
    <n v="0"/>
    <n v="0"/>
    <n v="0"/>
    <n v="18237.844444444447"/>
    <n v="18505.294444444444"/>
  </r>
  <r>
    <x v="13"/>
    <s v="Del Mar College "/>
    <m/>
    <n v="224350"/>
    <x v="6"/>
    <s v="sem"/>
    <s v="sem"/>
    <n v="96181"/>
    <n v="97094"/>
    <n v="27153"/>
    <n v="25321"/>
    <n v="12998"/>
    <n v="11668"/>
    <n v="99356"/>
    <n v="96822"/>
    <n v="235688"/>
    <n v="7856.2666666666664"/>
    <n v="230905"/>
    <n v="7696.833333333333"/>
    <n v="14669"/>
    <n v="15131"/>
    <n v="235688"/>
    <n v="230905"/>
    <n v="25165"/>
    <n v="84561"/>
    <n v="54503"/>
    <n v="44534"/>
    <n v="49599"/>
    <n v="61228"/>
    <n v="106554"/>
    <n v="91039"/>
    <n v="235821"/>
    <n v="262.02333333333331"/>
    <n v="281362"/>
    <n v="312.62444444444446"/>
    <m/>
    <m/>
    <n v="0"/>
    <n v="0"/>
    <m/>
    <m/>
    <m/>
    <m/>
    <m/>
    <m/>
    <m/>
    <m/>
    <n v="0"/>
    <n v="0"/>
    <n v="0"/>
    <n v="0"/>
    <n v="8118.29"/>
    <n v="8009.4577777777777"/>
  </r>
  <r>
    <x v="13"/>
    <s v="Eastfield College  (DCCCD)"/>
    <m/>
    <n v="224572"/>
    <x v="6"/>
    <s v="sem"/>
    <s v="sem"/>
    <n v="94279"/>
    <n v="99334"/>
    <n v="33595"/>
    <n v="36921"/>
    <n v="16923"/>
    <n v="16027"/>
    <n v="79283"/>
    <n v="88527"/>
    <n v="224080"/>
    <n v="7469.333333333333"/>
    <n v="240809"/>
    <n v="8026.9666666666662"/>
    <n v="15163"/>
    <n v="23314"/>
    <n v="224080"/>
    <n v="240809"/>
    <n v="69710"/>
    <n v="93754"/>
    <n v="57982"/>
    <n v="103607"/>
    <n v="96492"/>
    <n v="91037"/>
    <n v="90726"/>
    <n v="105570"/>
    <n v="314910"/>
    <n v="349.9"/>
    <n v="393968"/>
    <n v="437.74222222222221"/>
    <m/>
    <m/>
    <n v="0"/>
    <n v="0"/>
    <m/>
    <m/>
    <m/>
    <m/>
    <m/>
    <m/>
    <m/>
    <m/>
    <n v="0"/>
    <n v="0"/>
    <n v="0"/>
    <n v="0"/>
    <n v="7819.2333333333327"/>
    <n v="8464.7088888888884"/>
  </r>
  <r>
    <x v="13"/>
    <s v="El Centro College  (DCCCD)"/>
    <m/>
    <n v="224615"/>
    <x v="6"/>
    <s v="sem"/>
    <s v="sem"/>
    <n v="71527"/>
    <n v="78880"/>
    <n v="19830"/>
    <n v="22066"/>
    <n v="11714"/>
    <n v="11053"/>
    <n v="68198"/>
    <n v="77983"/>
    <n v="171269"/>
    <n v="5708.9666666666662"/>
    <n v="189982"/>
    <n v="6332.7333333333336"/>
    <n v="9731"/>
    <n v="13033"/>
    <n v="171269"/>
    <n v="189982"/>
    <n v="473478"/>
    <n v="199547"/>
    <n v="432462"/>
    <n v="203570"/>
    <n v="547679"/>
    <n v="144259"/>
    <n v="530065"/>
    <n v="242244"/>
    <n v="1983684"/>
    <n v="2204.0933333333332"/>
    <n v="789620"/>
    <n v="877.35555555555561"/>
    <m/>
    <m/>
    <n v="0"/>
    <n v="0"/>
    <m/>
    <m/>
    <m/>
    <m/>
    <m/>
    <m/>
    <m/>
    <m/>
    <n v="0"/>
    <n v="0"/>
    <n v="0"/>
    <n v="0"/>
    <n v="7913.0599999999995"/>
    <n v="7210.0888888888894"/>
  </r>
  <r>
    <x v="13"/>
    <s v="El Paso County Community College District"/>
    <m/>
    <n v="224642"/>
    <x v="6"/>
    <s v="sem"/>
    <s v="sem"/>
    <n v="243616"/>
    <n v="252345"/>
    <n v="62905"/>
    <n v="68077"/>
    <n v="0"/>
    <n v="0"/>
    <n v="256038"/>
    <n v="261904"/>
    <n v="562559"/>
    <n v="18751.966666666667"/>
    <n v="582326"/>
    <n v="19410.866666666665"/>
    <n v="39080"/>
    <n v="52573"/>
    <n v="562559"/>
    <n v="582326"/>
    <n v="137627"/>
    <n v="129563"/>
    <n v="152886"/>
    <n v="133119"/>
    <n v="152974"/>
    <n v="166435"/>
    <n v="179439"/>
    <n v="163887"/>
    <n v="622926"/>
    <n v="692.14"/>
    <n v="593004"/>
    <n v="658.89333333333332"/>
    <m/>
    <m/>
    <n v="0"/>
    <n v="0"/>
    <m/>
    <m/>
    <m/>
    <m/>
    <m/>
    <m/>
    <m/>
    <m/>
    <n v="0"/>
    <n v="0"/>
    <n v="0"/>
    <n v="0"/>
    <n v="19444.106666666667"/>
    <n v="20069.759999999998"/>
  </r>
  <r>
    <x v="13"/>
    <s v="Houston Community College"/>
    <m/>
    <n v="225423"/>
    <x v="6"/>
    <s v="sem"/>
    <s v="sem"/>
    <n v="497253"/>
    <n v="519200"/>
    <n v="280546"/>
    <n v="274376"/>
    <n v="0"/>
    <n v="0"/>
    <n v="380830"/>
    <n v="390312"/>
    <n v="1158629"/>
    <n v="38620.966666666667"/>
    <n v="1183888"/>
    <n v="39462.933333333334"/>
    <n v="66415"/>
    <n v="44317"/>
    <n v="1158629"/>
    <n v="1183888"/>
    <n v="392674"/>
    <n v="537454"/>
    <n v="534631"/>
    <n v="384249"/>
    <n v="359452"/>
    <n v="388800"/>
    <n v="603942"/>
    <n v="573214"/>
    <n v="1890699"/>
    <n v="2100.7766666666666"/>
    <n v="1883717"/>
    <n v="2093.0188888888888"/>
    <m/>
    <m/>
    <n v="0"/>
    <n v="0"/>
    <m/>
    <m/>
    <m/>
    <m/>
    <m/>
    <m/>
    <m/>
    <m/>
    <n v="0"/>
    <n v="0"/>
    <n v="0"/>
    <n v="0"/>
    <n v="40721.743333333332"/>
    <n v="41555.952222222222"/>
  </r>
  <r>
    <x v="13"/>
    <s v="Kilgore College "/>
    <s v="Reclassified: Met criteria for Two-Year 1 in 2009-10, 2010-11 and 2011-12."/>
    <n v="226019"/>
    <x v="6"/>
    <s v="sem"/>
    <s v="sem"/>
    <n v="63278"/>
    <n v="63398"/>
    <n v="12194"/>
    <n v="11755"/>
    <n v="7266"/>
    <n v="6823"/>
    <n v="63784"/>
    <n v="61104"/>
    <n v="146522"/>
    <n v="4884.0666666666666"/>
    <n v="143080"/>
    <n v="4769.333333333333"/>
    <n v="11343"/>
    <n v="10814"/>
    <n v="146522"/>
    <n v="143080"/>
    <n v="130042"/>
    <n v="185513"/>
    <n v="234101"/>
    <n v="161528"/>
    <n v="212027"/>
    <n v="157431"/>
    <n v="189140"/>
    <n v="136908"/>
    <n v="765310"/>
    <n v="850.34444444444443"/>
    <n v="641380"/>
    <n v="712.64444444444439"/>
    <m/>
    <m/>
    <n v="0"/>
    <n v="0"/>
    <m/>
    <m/>
    <m/>
    <m/>
    <m/>
    <m/>
    <m/>
    <m/>
    <n v="0"/>
    <n v="0"/>
    <n v="0"/>
    <n v="0"/>
    <n v="5734.4111111111106"/>
    <n v="5481.9777777777772"/>
  </r>
  <r>
    <x v="13"/>
    <s v="Laredo Community College "/>
    <m/>
    <n v="226134"/>
    <x v="6"/>
    <s v="sem"/>
    <s v="sem"/>
    <n v="78572"/>
    <n v="80549"/>
    <n v="16986"/>
    <n v="15303"/>
    <n v="9518"/>
    <n v="7807"/>
    <n v="85686"/>
    <n v="85876"/>
    <n v="190762"/>
    <n v="6358.7333333333336"/>
    <n v="189535"/>
    <n v="6317.833333333333"/>
    <n v="4587"/>
    <n v="4560"/>
    <n v="190762"/>
    <n v="189535"/>
    <n v="17337"/>
    <n v="23823"/>
    <n v="32466"/>
    <n v="18475"/>
    <n v="33731"/>
    <n v="21435"/>
    <n v="32303"/>
    <n v="9747"/>
    <n v="115837"/>
    <n v="128.70777777777778"/>
    <n v="73480"/>
    <n v="81.644444444444446"/>
    <m/>
    <m/>
    <n v="0"/>
    <n v="0"/>
    <m/>
    <m/>
    <m/>
    <m/>
    <m/>
    <m/>
    <m/>
    <m/>
    <n v="0"/>
    <n v="0"/>
    <n v="0"/>
    <n v="0"/>
    <n v="6487.4411111111112"/>
    <n v="6399.4777777777772"/>
  </r>
  <r>
    <x v="13"/>
    <s v="Lone Star College System District"/>
    <m/>
    <n v="227182"/>
    <x v="6"/>
    <s v="sem"/>
    <s v="sem"/>
    <n v="443701"/>
    <n v="480156"/>
    <n v="220824"/>
    <n v="222911"/>
    <n v="0"/>
    <n v="0"/>
    <n v="436686"/>
    <n v="450754"/>
    <n v="1101211"/>
    <n v="36707.033333333333"/>
    <n v="1153821"/>
    <n v="38460.699999999997"/>
    <n v="65002"/>
    <n v="59785"/>
    <n v="1101211"/>
    <n v="1153821"/>
    <n v="196287"/>
    <n v="118699"/>
    <n v="115244"/>
    <n v="135513"/>
    <n v="126742"/>
    <n v="109266"/>
    <n v="210289"/>
    <n v="163531"/>
    <n v="648562"/>
    <n v="720.62444444444441"/>
    <n v="527009"/>
    <n v="585.56555555555553"/>
    <m/>
    <m/>
    <n v="0"/>
    <n v="0"/>
    <m/>
    <m/>
    <m/>
    <m/>
    <m/>
    <m/>
    <m/>
    <m/>
    <n v="0"/>
    <n v="0"/>
    <n v="0"/>
    <n v="0"/>
    <n v="37427.657777777778"/>
    <n v="39046.265555555554"/>
  </r>
  <r>
    <x v="13"/>
    <s v="McLennan Community College "/>
    <m/>
    <n v="226578"/>
    <x v="6"/>
    <s v="sem"/>
    <s v="sem"/>
    <n v="84166"/>
    <n v="96362"/>
    <n v="25442"/>
    <n v="21067"/>
    <n v="13266"/>
    <n v="12768"/>
    <n v="94420"/>
    <n v="95215"/>
    <n v="217294"/>
    <n v="7243.1333333333332"/>
    <n v="225412"/>
    <n v="7513.7333333333336"/>
    <n v="9878"/>
    <n v="10107"/>
    <n v="217294"/>
    <n v="225412"/>
    <n v="62245"/>
    <n v="41450"/>
    <n v="52059"/>
    <n v="49581"/>
    <n v="61650"/>
    <n v="55229"/>
    <n v="36531"/>
    <n v="40685"/>
    <n v="212485"/>
    <n v="236.09444444444443"/>
    <n v="186945"/>
    <n v="207.71666666666667"/>
    <m/>
    <m/>
    <n v="0"/>
    <n v="0"/>
    <m/>
    <m/>
    <m/>
    <m/>
    <m/>
    <m/>
    <m/>
    <m/>
    <n v="0"/>
    <n v="0"/>
    <n v="0"/>
    <n v="0"/>
    <n v="7479.2277777777781"/>
    <n v="7721.45"/>
  </r>
  <r>
    <x v="13"/>
    <s v="Navarro College "/>
    <m/>
    <n v="227146"/>
    <x v="6"/>
    <s v="sem"/>
    <s v="sem"/>
    <n v="96980"/>
    <n v="105730"/>
    <n v="24927"/>
    <n v="27451"/>
    <n v="11938"/>
    <n v="10608"/>
    <n v="99452"/>
    <n v="102798"/>
    <n v="233297"/>
    <n v="7776.5666666666666"/>
    <n v="246587"/>
    <n v="8219.5666666666675"/>
    <n v="23721"/>
    <n v="24212"/>
    <n v="233297"/>
    <n v="246587"/>
    <n v="51324"/>
    <n v="45820"/>
    <n v="36450"/>
    <n v="43110"/>
    <n v="40086"/>
    <n v="34504"/>
    <n v="48235"/>
    <n v="48073"/>
    <n v="176095"/>
    <n v="195.6611111111111"/>
    <n v="171507"/>
    <n v="190.56333333333333"/>
    <m/>
    <m/>
    <n v="0"/>
    <n v="0"/>
    <m/>
    <m/>
    <m/>
    <m/>
    <m/>
    <m/>
    <m/>
    <m/>
    <n v="0"/>
    <n v="0"/>
    <n v="0"/>
    <n v="0"/>
    <n v="7972.2277777777781"/>
    <n v="8410.130000000001"/>
  </r>
  <r>
    <x v="13"/>
    <s v="North Central Texas Community College"/>
    <m/>
    <n v="224110"/>
    <x v="6"/>
    <s v="sem"/>
    <s v="sem"/>
    <n v="74853"/>
    <n v="78336"/>
    <n v="22830"/>
    <n v="23428"/>
    <n v="0"/>
    <n v="0"/>
    <n v="79425"/>
    <n v="84028"/>
    <n v="177108"/>
    <n v="5903.6"/>
    <n v="185792"/>
    <n v="6193.0666666666666"/>
    <n v="13205"/>
    <n v="12110"/>
    <n v="177108"/>
    <n v="185792"/>
    <n v="16259"/>
    <n v="26115"/>
    <n v="9314"/>
    <n v="12782"/>
    <n v="16291"/>
    <n v="25929"/>
    <n v="28803"/>
    <n v="27186"/>
    <n v="70667"/>
    <n v="78.518888888888895"/>
    <n v="92012"/>
    <n v="102.23555555555555"/>
    <m/>
    <m/>
    <n v="0"/>
    <n v="0"/>
    <m/>
    <m/>
    <m/>
    <m/>
    <m/>
    <m/>
    <m/>
    <m/>
    <n v="0"/>
    <n v="0"/>
    <n v="0"/>
    <n v="0"/>
    <n v="5982.1188888888892"/>
    <n v="6295.3022222222226"/>
  </r>
  <r>
    <x v="13"/>
    <s v="North Lake College  (DCCCD)"/>
    <m/>
    <n v="227191"/>
    <x v="6"/>
    <s v="sem"/>
    <s v="sem"/>
    <n v="86219"/>
    <n v="84041"/>
    <n v="21688"/>
    <n v="25036"/>
    <n v="16535"/>
    <n v="13256"/>
    <n v="81509"/>
    <n v="78328"/>
    <n v="205951"/>
    <n v="6865.0333333333338"/>
    <n v="200661"/>
    <n v="6688.7"/>
    <n v="10559"/>
    <n v="11886"/>
    <n v="205951"/>
    <n v="200661"/>
    <n v="129448"/>
    <n v="107704"/>
    <n v="68850"/>
    <n v="69304"/>
    <n v="76654"/>
    <n v="51430"/>
    <n v="128582"/>
    <n v="148816"/>
    <n v="403534"/>
    <n v="448.37111111111113"/>
    <n v="377254"/>
    <n v="419.17111111111109"/>
    <m/>
    <m/>
    <n v="0"/>
    <n v="0"/>
    <m/>
    <m/>
    <m/>
    <m/>
    <m/>
    <m/>
    <m/>
    <m/>
    <n v="0"/>
    <n v="0"/>
    <n v="0"/>
    <n v="0"/>
    <n v="7313.4044444444453"/>
    <n v="7107.8711111111106"/>
  </r>
  <r>
    <x v="13"/>
    <s v="Northwest Vista College (ACCD)"/>
    <m/>
    <n v="420398"/>
    <x v="6"/>
    <s v="sem"/>
    <s v="sem"/>
    <n v="125391"/>
    <n v="129536"/>
    <n v="39040"/>
    <n v="35283"/>
    <n v="5403"/>
    <n v="0"/>
    <n v="126040"/>
    <n v="131155"/>
    <n v="295874"/>
    <n v="9862.4666666666672"/>
    <n v="295974"/>
    <n v="9865.7999999999993"/>
    <n v="19417"/>
    <n v="22176"/>
    <n v="295874"/>
    <n v="295974"/>
    <n v="24168"/>
    <n v="2896"/>
    <n v="28365"/>
    <n v="4188"/>
    <n v="25928"/>
    <n v="4568"/>
    <n v="19362"/>
    <n v="23839"/>
    <n v="97823"/>
    <n v="108.69222222222223"/>
    <n v="35491"/>
    <n v="39.434444444444445"/>
    <m/>
    <m/>
    <n v="0"/>
    <n v="0"/>
    <m/>
    <m/>
    <m/>
    <m/>
    <m/>
    <m/>
    <m/>
    <m/>
    <n v="0"/>
    <n v="0"/>
    <n v="0"/>
    <n v="0"/>
    <n v="9971.1588888888891"/>
    <n v="9905.2344444444443"/>
  </r>
  <r>
    <x v="13"/>
    <s v="Palo Alto College  (ACCD)"/>
    <m/>
    <n v="246354"/>
    <x v="6"/>
    <s v="sem"/>
    <s v="sem"/>
    <n v="70047"/>
    <n v="73272"/>
    <n v="20443"/>
    <n v="21590"/>
    <n v="7336"/>
    <n v="0"/>
    <n v="67279"/>
    <n v="71422"/>
    <n v="165105"/>
    <n v="5503.5"/>
    <n v="166284"/>
    <n v="5542.8"/>
    <n v="13714"/>
    <n v="19330"/>
    <n v="165105"/>
    <n v="166284"/>
    <n v="53540"/>
    <n v="17725"/>
    <n v="66950"/>
    <n v="46645"/>
    <n v="36517"/>
    <n v="64301"/>
    <n v="47291"/>
    <n v="38603"/>
    <n v="204298"/>
    <n v="226.99777777777777"/>
    <n v="167274"/>
    <n v="185.86"/>
    <m/>
    <m/>
    <n v="0"/>
    <n v="0"/>
    <m/>
    <m/>
    <m/>
    <m/>
    <m/>
    <m/>
    <m/>
    <m/>
    <n v="0"/>
    <n v="0"/>
    <n v="0"/>
    <n v="0"/>
    <n v="5730.4977777777776"/>
    <n v="5728.66"/>
  </r>
  <r>
    <x v="13"/>
    <s v="Richland College  (DCCCD)"/>
    <m/>
    <n v="227766"/>
    <x v="6"/>
    <s v="sem"/>
    <s v="sem"/>
    <n v="142648"/>
    <n v="144325"/>
    <n v="55616"/>
    <n v="54328"/>
    <n v="27694"/>
    <n v="25301"/>
    <n v="124116"/>
    <n v="128208"/>
    <n v="350074"/>
    <n v="11669.133333333333"/>
    <n v="352162"/>
    <n v="11738.733333333334"/>
    <n v="26011"/>
    <n v="31134"/>
    <n v="350074"/>
    <n v="352162"/>
    <n v="166961"/>
    <n v="156660"/>
    <n v="179960"/>
    <n v="166508"/>
    <n v="163334"/>
    <n v="162617"/>
    <n v="230837"/>
    <n v="214981"/>
    <n v="741092"/>
    <n v="823.43555555555554"/>
    <n v="700766"/>
    <n v="778.62888888888892"/>
    <m/>
    <m/>
    <n v="0"/>
    <n v="0"/>
    <m/>
    <m/>
    <m/>
    <m/>
    <m/>
    <m/>
    <m/>
    <m/>
    <n v="0"/>
    <n v="0"/>
    <n v="0"/>
    <n v="0"/>
    <n v="12492.568888888889"/>
    <n v="12517.362222222222"/>
  </r>
  <r>
    <x v="13"/>
    <s v="San Antonio College (ACCD)"/>
    <m/>
    <n v="227924"/>
    <x v="6"/>
    <s v="sem"/>
    <s v="sem"/>
    <n v="216322"/>
    <n v="224466"/>
    <n v="62262"/>
    <n v="58381"/>
    <n v="23243"/>
    <n v="0"/>
    <n v="199638"/>
    <n v="215717"/>
    <n v="501465"/>
    <n v="16715.5"/>
    <n v="498564"/>
    <n v="16618.8"/>
    <n v="16550"/>
    <n v="21087"/>
    <n v="501465"/>
    <n v="498564"/>
    <n v="112449"/>
    <n v="82479"/>
    <n v="76664"/>
    <n v="70520"/>
    <n v="93271"/>
    <n v="92068"/>
    <n v="93736"/>
    <n v="88207"/>
    <n v="376120"/>
    <n v="417.9111111111111"/>
    <n v="333274"/>
    <n v="370.30444444444447"/>
    <m/>
    <m/>
    <n v="0"/>
    <n v="0"/>
    <m/>
    <m/>
    <m/>
    <m/>
    <m/>
    <m/>
    <m/>
    <m/>
    <n v="0"/>
    <n v="0"/>
    <n v="0"/>
    <n v="0"/>
    <n v="17133.411111111112"/>
    <n v="16989.104444444445"/>
  </r>
  <r>
    <x v="13"/>
    <s v="San Jacinto College"/>
    <m/>
    <n v="227979"/>
    <x v="6"/>
    <s v="sem"/>
    <s v="sem"/>
    <n v="233369"/>
    <n v="250133"/>
    <n v="71933"/>
    <n v="101702"/>
    <n v="0"/>
    <n v="0"/>
    <n v="269795"/>
    <n v="248562"/>
    <n v="575097"/>
    <n v="19169.900000000001"/>
    <n v="600397"/>
    <n v="20013.233333333334"/>
    <n v="28877"/>
    <n v="29013"/>
    <n v="575097"/>
    <n v="600397"/>
    <n v="96373"/>
    <n v="105120"/>
    <n v="72815"/>
    <n v="67954"/>
    <n v="123606"/>
    <n v="104067"/>
    <n v="80210"/>
    <n v="124522"/>
    <n v="373004"/>
    <n v="414.44888888888892"/>
    <n v="401663"/>
    <n v="446.29222222222222"/>
    <m/>
    <m/>
    <n v="0"/>
    <n v="0"/>
    <m/>
    <m/>
    <m/>
    <m/>
    <m/>
    <m/>
    <m/>
    <m/>
    <n v="0"/>
    <n v="0"/>
    <n v="0"/>
    <n v="0"/>
    <n v="19584.34888888889"/>
    <n v="20459.525555555556"/>
  </r>
  <r>
    <x v="13"/>
    <s v="South Plains College "/>
    <m/>
    <n v="228158"/>
    <x v="6"/>
    <s v="sem"/>
    <s v="sem"/>
    <n v="95764"/>
    <n v="96525"/>
    <n v="14825"/>
    <n v="14831"/>
    <n v="7310"/>
    <n v="7200"/>
    <n v="99140"/>
    <n v="100587"/>
    <n v="217039"/>
    <n v="7234.6333333333332"/>
    <n v="219143"/>
    <n v="7304.7666666666664"/>
    <n v="21040"/>
    <n v="20907"/>
    <n v="217039"/>
    <n v="219143"/>
    <n v="93341"/>
    <n v="69321"/>
    <n v="91674"/>
    <n v="67577"/>
    <n v="71229"/>
    <n v="57993"/>
    <n v="85525"/>
    <n v="64771"/>
    <n v="341769"/>
    <n v="379.74333333333334"/>
    <n v="259662"/>
    <n v="288.51333333333332"/>
    <m/>
    <m/>
    <n v="0"/>
    <n v="0"/>
    <m/>
    <m/>
    <m/>
    <m/>
    <m/>
    <m/>
    <m/>
    <m/>
    <n v="0"/>
    <n v="0"/>
    <n v="0"/>
    <n v="0"/>
    <n v="7614.376666666667"/>
    <n v="7593.28"/>
  </r>
  <r>
    <x v="13"/>
    <s v="St. Philip's College  (ACCD)"/>
    <m/>
    <n v="227854"/>
    <x v="6"/>
    <s v="sem"/>
    <s v="sem"/>
    <n v="97024"/>
    <n v="92273"/>
    <n v="32560"/>
    <n v="26904"/>
    <n v="8760"/>
    <n v="0"/>
    <n v="80171"/>
    <n v="79404"/>
    <n v="218515"/>
    <n v="7283.833333333333"/>
    <n v="198581"/>
    <n v="6619.3666666666668"/>
    <n v="15340"/>
    <n v="16473"/>
    <n v="218515"/>
    <n v="198581"/>
    <n v="35511"/>
    <n v="27166"/>
    <n v="34266"/>
    <n v="28144"/>
    <n v="25749"/>
    <n v="32469"/>
    <n v="20582"/>
    <n v="25235"/>
    <n v="116108"/>
    <n v="129.00888888888889"/>
    <n v="113014"/>
    <n v="125.57111111111111"/>
    <m/>
    <m/>
    <n v="0"/>
    <n v="0"/>
    <m/>
    <m/>
    <m/>
    <m/>
    <m/>
    <m/>
    <m/>
    <m/>
    <n v="0"/>
    <n v="0"/>
    <n v="0"/>
    <n v="0"/>
    <n v="7412.8422222222216"/>
    <n v="6744.9377777777781"/>
  </r>
  <r>
    <x v="13"/>
    <s v="Tarrant County College"/>
    <m/>
    <n v="228547"/>
    <x v="6"/>
    <s v="sem"/>
    <s v="sem"/>
    <n v="398585"/>
    <n v="413090"/>
    <n v="173087"/>
    <n v="182747"/>
    <n v="0"/>
    <n v="0"/>
    <n v="396982"/>
    <n v="376822"/>
    <n v="968654"/>
    <n v="32288.466666666667"/>
    <n v="972659"/>
    <n v="32421.966666666667"/>
    <n v="35886"/>
    <n v="38347"/>
    <n v="968654"/>
    <n v="972659"/>
    <n v="178974"/>
    <n v="183087"/>
    <n v="155540"/>
    <n v="201121"/>
    <n v="133834"/>
    <n v="216806"/>
    <n v="228119"/>
    <n v="269126"/>
    <n v="696467"/>
    <n v="773.85222222222217"/>
    <n v="870140"/>
    <n v="966.82222222222219"/>
    <m/>
    <m/>
    <n v="0"/>
    <n v="0"/>
    <m/>
    <m/>
    <m/>
    <m/>
    <m/>
    <m/>
    <m/>
    <m/>
    <n v="0"/>
    <n v="0"/>
    <n v="0"/>
    <n v="0"/>
    <n v="33062.318888888891"/>
    <n v="33388.788888888892"/>
  </r>
  <r>
    <x v="13"/>
    <s v="Texas Southmost College "/>
    <m/>
    <n v="229072"/>
    <x v="6"/>
    <s v="sem"/>
    <s v="sem"/>
    <n v="79459"/>
    <n v="84962"/>
    <n v="14720"/>
    <n v="15022"/>
    <n v="9890"/>
    <n v="9845"/>
    <n v="86537"/>
    <n v="83537"/>
    <n v="190606"/>
    <n v="6353.5333333333338"/>
    <n v="193366"/>
    <n v="6445.5333333333338"/>
    <n v="16750"/>
    <n v="9151"/>
    <n v="190606"/>
    <n v="193366"/>
    <n v="19747"/>
    <n v="43101"/>
    <n v="20381"/>
    <n v="18091"/>
    <n v="31949"/>
    <n v="26558"/>
    <n v="37125"/>
    <n v="19882"/>
    <n v="109202"/>
    <n v="121.33555555555556"/>
    <n v="107632"/>
    <n v="119.5911111111111"/>
    <m/>
    <m/>
    <n v="0"/>
    <n v="0"/>
    <m/>
    <m/>
    <m/>
    <m/>
    <m/>
    <m/>
    <m/>
    <m/>
    <n v="0"/>
    <n v="0"/>
    <n v="0"/>
    <n v="0"/>
    <n v="6474.8688888888892"/>
    <n v="6565.1244444444446"/>
  </r>
  <r>
    <x v="13"/>
    <s v="Texas State Technical College-Waco"/>
    <s v="Reclassified: Met criteria for Two-Year 1 in 2009-10, 2010-11 and 2011-12."/>
    <n v="228680"/>
    <x v="6"/>
    <s v="sem"/>
    <s v="sem"/>
    <n v="60332"/>
    <n v="57861"/>
    <n v="41453"/>
    <n v="39433"/>
    <n v="0"/>
    <n v="0"/>
    <n v="61649"/>
    <n v="55502"/>
    <n v="163434"/>
    <n v="5447.8"/>
    <n v="152796"/>
    <n v="5093.2"/>
    <n v="3806"/>
    <n v="4369"/>
    <n v="163434"/>
    <n v="152796"/>
    <n v="5240"/>
    <n v="3404"/>
    <n v="9932"/>
    <n v="3160"/>
    <n v="7792"/>
    <n v="1120"/>
    <n v="3509"/>
    <n v="1439"/>
    <n v="26473"/>
    <n v="29.414444444444445"/>
    <n v="9123"/>
    <n v="10.136666666666667"/>
    <m/>
    <m/>
    <n v="0"/>
    <n v="0"/>
    <m/>
    <m/>
    <m/>
    <m/>
    <m/>
    <m/>
    <m/>
    <m/>
    <n v="0"/>
    <n v="0"/>
    <n v="0"/>
    <n v="0"/>
    <n v="5477.2144444444448"/>
    <n v="5103.3366666666661"/>
  </r>
  <r>
    <x v="13"/>
    <s v="Trinity Valley Community College"/>
    <s v="Reclassified: Met criteria for Two-Year 1 in 2009-10, 2010-11 and 2011-12."/>
    <n v="225308"/>
    <x v="6"/>
    <s v="sem"/>
    <s v="sem"/>
    <n v="68075"/>
    <n v="71262"/>
    <n v="16137"/>
    <n v="16884"/>
    <n v="11315"/>
    <n v="10374"/>
    <n v="70587"/>
    <n v="69310"/>
    <n v="166114"/>
    <n v="5537.1333333333332"/>
    <n v="167830"/>
    <n v="5594.333333333333"/>
    <n v="15747"/>
    <n v="14924"/>
    <n v="166114"/>
    <n v="167830"/>
    <n v="55888"/>
    <n v="41616"/>
    <n v="54132"/>
    <n v="46944"/>
    <n v="45733"/>
    <n v="35156"/>
    <n v="63752"/>
    <n v="89595"/>
    <n v="219505"/>
    <n v="243.89444444444445"/>
    <n v="213311"/>
    <n v="237.01222222222222"/>
    <m/>
    <m/>
    <n v="0"/>
    <n v="0"/>
    <m/>
    <m/>
    <m/>
    <m/>
    <m/>
    <m/>
    <m/>
    <m/>
    <n v="0"/>
    <n v="0"/>
    <n v="0"/>
    <n v="0"/>
    <n v="5781.0277777777774"/>
    <n v="5831.3455555555556"/>
  </r>
  <r>
    <x v="13"/>
    <s v="Tyler Junior College "/>
    <m/>
    <n v="229355"/>
    <x v="6"/>
    <s v="sem"/>
    <s v="sem"/>
    <n v="105356"/>
    <n v="115038"/>
    <n v="25189"/>
    <n v="19629"/>
    <n v="8442"/>
    <n v="8570"/>
    <n v="120181"/>
    <n v="116545"/>
    <n v="259168"/>
    <n v="8638.9333333333325"/>
    <n v="259782"/>
    <n v="8659.4"/>
    <n v="13943"/>
    <n v="15229"/>
    <n v="259168"/>
    <n v="259782"/>
    <n v="80585"/>
    <n v="69876"/>
    <n v="87735"/>
    <n v="71986"/>
    <n v="70168"/>
    <n v="68230"/>
    <n v="74079"/>
    <n v="64346"/>
    <n v="312567"/>
    <n v="347.29666666666668"/>
    <n v="274438"/>
    <n v="304.93111111111114"/>
    <m/>
    <m/>
    <n v="0"/>
    <n v="0"/>
    <m/>
    <m/>
    <m/>
    <m/>
    <m/>
    <m/>
    <m/>
    <m/>
    <n v="0"/>
    <n v="0"/>
    <n v="0"/>
    <n v="0"/>
    <n v="8986.23"/>
    <n v="8964.3311111111107"/>
  </r>
  <r>
    <x v="13"/>
    <s v="Alvin Community College "/>
    <m/>
    <n v="222567"/>
    <x v="7"/>
    <s v="sem"/>
    <s v="sem"/>
    <n v="44727"/>
    <n v="44996"/>
    <n v="20223"/>
    <n v="18141"/>
    <n v="0"/>
    <n v="0"/>
    <n v="46517"/>
    <n v="43441"/>
    <n v="111467"/>
    <n v="3715.5666666666666"/>
    <n v="106578"/>
    <n v="3552.6"/>
    <n v="13673"/>
    <n v="12255"/>
    <n v="111467"/>
    <n v="106578"/>
    <n v="28460"/>
    <n v="24522"/>
    <n v="29894"/>
    <n v="21176"/>
    <n v="41690"/>
    <n v="23235"/>
    <n v="33080"/>
    <n v="27749"/>
    <n v="133124"/>
    <n v="147.91555555555556"/>
    <n v="96682"/>
    <n v="107.42444444444445"/>
    <m/>
    <m/>
    <n v="0"/>
    <n v="0"/>
    <m/>
    <m/>
    <m/>
    <m/>
    <m/>
    <m/>
    <m/>
    <m/>
    <n v="0"/>
    <n v="0"/>
    <n v="0"/>
    <n v="0"/>
    <n v="3863.4822222222219"/>
    <n v="3660.0244444444443"/>
  </r>
  <r>
    <x v="13"/>
    <s v="Angelina College "/>
    <m/>
    <n v="222822"/>
    <x v="7"/>
    <s v="sem"/>
    <s v="sem"/>
    <n v="47197"/>
    <n v="49314"/>
    <n v="9435"/>
    <n v="9073"/>
    <n v="4351"/>
    <n v="3779"/>
    <n v="53295"/>
    <n v="51730"/>
    <n v="114278"/>
    <n v="3809.2666666666669"/>
    <n v="113896"/>
    <n v="3796.5333333333333"/>
    <n v="12671"/>
    <n v="13855"/>
    <n v="114278"/>
    <n v="113896"/>
    <n v="31994"/>
    <n v="83343"/>
    <n v="100018"/>
    <n v="30693"/>
    <n v="99549"/>
    <n v="74856"/>
    <n v="31434"/>
    <n v="29087"/>
    <n v="262995"/>
    <n v="292.21666666666664"/>
    <n v="217979"/>
    <n v="242.19888888888889"/>
    <m/>
    <m/>
    <n v="0"/>
    <n v="0"/>
    <m/>
    <m/>
    <m/>
    <m/>
    <m/>
    <m/>
    <m/>
    <m/>
    <n v="0"/>
    <n v="0"/>
    <n v="0"/>
    <n v="0"/>
    <n v="4101.4833333333336"/>
    <n v="4038.7322222222224"/>
  </r>
  <r>
    <x v="13"/>
    <s v="Cedar Valley College  (DCCCD)"/>
    <m/>
    <n v="223773"/>
    <x v="7"/>
    <s v="sem"/>
    <s v="sem"/>
    <n v="45775"/>
    <n v="45892"/>
    <n v="14183"/>
    <n v="16092"/>
    <n v="8858"/>
    <n v="7338"/>
    <n v="41826"/>
    <n v="42646"/>
    <n v="110642"/>
    <n v="3688.0666666666666"/>
    <n v="111968"/>
    <n v="3732.2666666666669"/>
    <n v="9442"/>
    <n v="13130"/>
    <n v="110642"/>
    <n v="111968"/>
    <n v="74381"/>
    <n v="48657"/>
    <n v="102193"/>
    <n v="67531"/>
    <n v="73281"/>
    <n v="37573"/>
    <n v="87214"/>
    <n v="52978"/>
    <n v="337069"/>
    <n v="374.52111111111111"/>
    <n v="206739"/>
    <n v="229.71"/>
    <m/>
    <m/>
    <n v="0"/>
    <n v="0"/>
    <m/>
    <m/>
    <m/>
    <m/>
    <m/>
    <m/>
    <m/>
    <m/>
    <n v="0"/>
    <n v="0"/>
    <n v="0"/>
    <n v="0"/>
    <n v="4062.5877777777778"/>
    <n v="3961.9766666666669"/>
  </r>
  <r>
    <x v="13"/>
    <s v="Cisco Junior College"/>
    <m/>
    <n v="223898"/>
    <x v="7"/>
    <s v="sem"/>
    <s v="sem"/>
    <n v="40994"/>
    <n v="42604"/>
    <n v="7276"/>
    <n v="7171"/>
    <n v="2023"/>
    <n v="2693"/>
    <n v="45006"/>
    <n v="42100"/>
    <n v="95299"/>
    <n v="3176.6333333333332"/>
    <n v="94568"/>
    <n v="3152.2666666666669"/>
    <n v="4010"/>
    <n v="7241"/>
    <n v="95299"/>
    <n v="94568"/>
    <n v="6480"/>
    <n v="1900"/>
    <n v="5424"/>
    <n v="1850"/>
    <n v="1666"/>
    <n v="608"/>
    <n v="1900"/>
    <n v="1828"/>
    <n v="15470"/>
    <n v="17.18888888888889"/>
    <n v="6186"/>
    <n v="6.8733333333333331"/>
    <m/>
    <m/>
    <n v="0"/>
    <n v="0"/>
    <m/>
    <m/>
    <m/>
    <m/>
    <m/>
    <m/>
    <m/>
    <m/>
    <n v="0"/>
    <n v="0"/>
    <n v="0"/>
    <n v="0"/>
    <n v="3193.8222222222221"/>
    <n v="3159.1400000000003"/>
  </r>
  <r>
    <x v="13"/>
    <s v="Coastal Bend College"/>
    <m/>
    <n v="223320"/>
    <x v="7"/>
    <s v="sem"/>
    <s v="sem"/>
    <n v="35006"/>
    <n v="34519"/>
    <n v="10251"/>
    <n v="9754"/>
    <n v="2961"/>
    <n v="3006"/>
    <n v="37203"/>
    <n v="32337"/>
    <n v="85421"/>
    <n v="2847.3666666666668"/>
    <n v="79616"/>
    <n v="2653.8666666666668"/>
    <n v="12915"/>
    <n v="14910"/>
    <n v="85421"/>
    <n v="79616"/>
    <n v="25471"/>
    <n v="39911"/>
    <n v="54226"/>
    <n v="67854"/>
    <n v="54674"/>
    <n v="82344"/>
    <n v="40929"/>
    <n v="65765"/>
    <n v="175300"/>
    <n v="194.77777777777777"/>
    <n v="255874"/>
    <n v="284.30444444444447"/>
    <m/>
    <m/>
    <n v="0"/>
    <n v="0"/>
    <m/>
    <m/>
    <m/>
    <m/>
    <m/>
    <m/>
    <m/>
    <m/>
    <n v="0"/>
    <n v="0"/>
    <n v="0"/>
    <n v="0"/>
    <n v="3042.1444444444446"/>
    <n v="2938.1711111111113"/>
  </r>
  <r>
    <x v="13"/>
    <s v="College of the Mainland"/>
    <m/>
    <n v="226408"/>
    <x v="7"/>
    <s v="sem"/>
    <s v="sem"/>
    <n v="35496"/>
    <n v="36112"/>
    <n v="8725"/>
    <n v="9727"/>
    <n v="7822"/>
    <n v="7532"/>
    <n v="35705"/>
    <n v="33935"/>
    <n v="87748"/>
    <n v="2924.9333333333334"/>
    <n v="87306"/>
    <n v="2910.2"/>
    <n v="7171"/>
    <n v="8066"/>
    <n v="87748"/>
    <n v="87306"/>
    <n v="70285"/>
    <n v="53328"/>
    <n v="65267"/>
    <n v="36974"/>
    <n v="63442"/>
    <n v="52758"/>
    <n v="63027"/>
    <n v="48765"/>
    <n v="262021"/>
    <n v="291.13444444444445"/>
    <n v="191825"/>
    <n v="213.13888888888889"/>
    <m/>
    <m/>
    <n v="0"/>
    <n v="0"/>
    <m/>
    <m/>
    <m/>
    <m/>
    <m/>
    <m/>
    <m/>
    <m/>
    <n v="0"/>
    <n v="0"/>
    <n v="0"/>
    <n v="0"/>
    <n v="3216.0677777777778"/>
    <n v="3123.3388888888885"/>
  </r>
  <r>
    <x v="13"/>
    <s v="Grayson County College "/>
    <m/>
    <n v="225070"/>
    <x v="7"/>
    <s v="sem"/>
    <s v="sem"/>
    <n v="46413"/>
    <n v="51354"/>
    <n v="10419"/>
    <n v="10067"/>
    <n v="3266"/>
    <n v="3889"/>
    <n v="51776"/>
    <n v="51032"/>
    <n v="111874"/>
    <n v="3729.1333333333332"/>
    <n v="116342"/>
    <n v="3878.0666666666666"/>
    <n v="4602"/>
    <n v="5826"/>
    <n v="111874"/>
    <n v="116342"/>
    <n v="22847"/>
    <n v="14465"/>
    <n v="23063"/>
    <n v="22040"/>
    <n v="25392"/>
    <n v="23955"/>
    <n v="19113"/>
    <n v="17833"/>
    <n v="90415"/>
    <n v="100.46111111111111"/>
    <n v="78293"/>
    <n v="86.992222222222225"/>
    <m/>
    <m/>
    <n v="0"/>
    <n v="0"/>
    <m/>
    <m/>
    <m/>
    <m/>
    <m/>
    <m/>
    <m/>
    <m/>
    <n v="0"/>
    <n v="0"/>
    <n v="0"/>
    <n v="0"/>
    <n v="3829.5944444444444"/>
    <n v="3965.0588888888888"/>
  </r>
  <r>
    <x v="13"/>
    <s v="Hill College"/>
    <m/>
    <n v="225371"/>
    <x v="7"/>
    <s v="sem"/>
    <s v="sem"/>
    <n v="40248"/>
    <n v="41045"/>
    <n v="12875"/>
    <n v="11526"/>
    <n v="2845"/>
    <n v="2760"/>
    <n v="42525"/>
    <n v="39309"/>
    <n v="98493"/>
    <n v="3283.1"/>
    <n v="94640"/>
    <n v="3154.6666666666665"/>
    <n v="10518"/>
    <n v="9522"/>
    <n v="98493"/>
    <n v="94640"/>
    <n v="17654"/>
    <n v="15980"/>
    <n v="10417"/>
    <n v="15366"/>
    <n v="17176"/>
    <n v="8992"/>
    <n v="12862"/>
    <n v="12814"/>
    <n v="58109"/>
    <n v="64.565555555555562"/>
    <n v="53152"/>
    <n v="59.05777777777778"/>
    <m/>
    <m/>
    <n v="0"/>
    <n v="0"/>
    <m/>
    <m/>
    <m/>
    <m/>
    <m/>
    <m/>
    <m/>
    <m/>
    <n v="0"/>
    <n v="0"/>
    <n v="0"/>
    <n v="0"/>
    <n v="3347.6655555555553"/>
    <n v="3213.7244444444441"/>
  </r>
  <r>
    <x v="13"/>
    <s v="Howard College (HCJCD)"/>
    <m/>
    <n v="225520"/>
    <x v="7"/>
    <s v="sem"/>
    <s v="sem"/>
    <n v="34244"/>
    <n v="39148"/>
    <n v="6652"/>
    <n v="7114"/>
    <n v="3014"/>
    <n v="3086"/>
    <n v="39002"/>
    <n v="37689"/>
    <n v="82912"/>
    <n v="2763.7333333333331"/>
    <n v="87037"/>
    <n v="2901.2333333333331"/>
    <n v="15096"/>
    <n v="13864"/>
    <n v="82912"/>
    <n v="87037"/>
    <n v="193800"/>
    <n v="220723"/>
    <n v="258249"/>
    <n v="215667"/>
    <n v="269259"/>
    <n v="199639"/>
    <n v="251097"/>
    <n v="135182"/>
    <n v="972405"/>
    <n v="1080.45"/>
    <n v="771211"/>
    <n v="856.90111111111116"/>
    <m/>
    <m/>
    <n v="0"/>
    <n v="0"/>
    <m/>
    <m/>
    <m/>
    <m/>
    <m/>
    <m/>
    <m/>
    <m/>
    <n v="0"/>
    <n v="0"/>
    <n v="0"/>
    <n v="0"/>
    <n v="3844.1833333333334"/>
    <n v="3758.1344444444444"/>
  </r>
  <r>
    <x v="13"/>
    <s v="Lamar Institute of Technology"/>
    <m/>
    <n v="441760"/>
    <x v="7"/>
    <s v="sem"/>
    <s v="sem"/>
    <n v="29911"/>
    <n v="29152"/>
    <n v="2414"/>
    <n v="2561"/>
    <n v="1555"/>
    <n v="1683"/>
    <n v="33560"/>
    <n v="30984"/>
    <n v="67440"/>
    <n v="2248"/>
    <n v="64380"/>
    <n v="2146"/>
    <n v="1273"/>
    <n v="1310"/>
    <n v="67440"/>
    <n v="64380"/>
    <n v="38880"/>
    <n v="27288"/>
    <n v="48953"/>
    <n v="27133"/>
    <n v="30404"/>
    <n v="33816"/>
    <n v="34158"/>
    <n v="35254"/>
    <n v="152395"/>
    <n v="169.32777777777778"/>
    <n v="123491"/>
    <n v="137.21222222222221"/>
    <m/>
    <m/>
    <n v="0"/>
    <n v="0"/>
    <m/>
    <m/>
    <m/>
    <m/>
    <m/>
    <m/>
    <m/>
    <m/>
    <n v="0"/>
    <n v="0"/>
    <n v="0"/>
    <n v="0"/>
    <n v="2417.3277777777776"/>
    <n v="2283.2122222222224"/>
  </r>
  <r>
    <x v="13"/>
    <s v="Lee College "/>
    <m/>
    <n v="226204"/>
    <x v="7"/>
    <s v="sem"/>
    <s v="sem"/>
    <n v="57161"/>
    <n v="59665"/>
    <n v="26260"/>
    <n v="23896"/>
    <n v="4191"/>
    <n v="3482"/>
    <n v="56131"/>
    <n v="53085"/>
    <n v="143743"/>
    <n v="4791.4333333333334"/>
    <n v="140128"/>
    <n v="4670.9333333333334"/>
    <n v="4145"/>
    <n v="6801"/>
    <n v="143743"/>
    <n v="140128"/>
    <n v="44921"/>
    <n v="37158"/>
    <n v="26774"/>
    <n v="28407"/>
    <n v="25720"/>
    <n v="23643"/>
    <n v="39945"/>
    <n v="25718"/>
    <n v="137360"/>
    <n v="152.62222222222223"/>
    <n v="114926"/>
    <n v="127.69555555555556"/>
    <m/>
    <m/>
    <n v="0"/>
    <n v="0"/>
    <m/>
    <m/>
    <m/>
    <m/>
    <m/>
    <m/>
    <m/>
    <m/>
    <n v="0"/>
    <n v="0"/>
    <n v="0"/>
    <n v="0"/>
    <n v="4944.0555555555557"/>
    <n v="4798.6288888888894"/>
  </r>
  <r>
    <x v="13"/>
    <s v="Mountain View College  (DCCCD)"/>
    <s v="Met the criteria for Two-Year 1 in 2010-11 amd 2011-12."/>
    <n v="226930"/>
    <x v="7"/>
    <s v="sem"/>
    <s v="sem"/>
    <n v="60730"/>
    <n v="59502"/>
    <n v="18725"/>
    <n v="18861"/>
    <n v="9855"/>
    <n v="8092"/>
    <n v="57043"/>
    <n v="60037"/>
    <n v="146353"/>
    <n v="4878.4333333333334"/>
    <n v="146492"/>
    <n v="4883.0666666666666"/>
    <n v="9878"/>
    <n v="7832"/>
    <n v="146353"/>
    <n v="146492"/>
    <n v="36996"/>
    <n v="25427"/>
    <n v="30872"/>
    <n v="26246"/>
    <n v="30885"/>
    <n v="35671"/>
    <n v="35482"/>
    <n v="34257"/>
    <n v="134235"/>
    <n v="149.15"/>
    <n v="121601"/>
    <n v="135.11222222222221"/>
    <m/>
    <m/>
    <n v="0"/>
    <n v="0"/>
    <m/>
    <m/>
    <m/>
    <m/>
    <m/>
    <m/>
    <m/>
    <m/>
    <n v="0"/>
    <n v="0"/>
    <n v="0"/>
    <n v="0"/>
    <n v="5027.583333333333"/>
    <n v="5018.1788888888887"/>
  </r>
  <r>
    <x v="13"/>
    <s v="Northeast Texas Community College "/>
    <s v="Reclassified: Met criteria for Two-Year 2 in 2009-10, 2010-11 and 2011-12."/>
    <n v="227225"/>
    <x v="7"/>
    <s v="sem"/>
    <s v="sem"/>
    <n v="27446"/>
    <n v="30175"/>
    <n v="7163"/>
    <n v="6783"/>
    <n v="3607"/>
    <n v="0"/>
    <n v="31534"/>
    <n v="35644"/>
    <n v="69750"/>
    <n v="2325"/>
    <n v="72602"/>
    <n v="2420.0666666666666"/>
    <n v="4494"/>
    <n v="5886"/>
    <n v="69750"/>
    <n v="72602"/>
    <n v="6122"/>
    <n v="8942"/>
    <n v="15498"/>
    <n v="7869"/>
    <n v="7872"/>
    <n v="7228"/>
    <n v="8355"/>
    <n v="8308"/>
    <n v="37847"/>
    <n v="42.05222222222222"/>
    <n v="32347"/>
    <n v="35.941111111111113"/>
    <m/>
    <m/>
    <n v="0"/>
    <n v="0"/>
    <m/>
    <m/>
    <m/>
    <m/>
    <m/>
    <m/>
    <m/>
    <m/>
    <n v="0"/>
    <n v="0"/>
    <n v="0"/>
    <n v="0"/>
    <n v="2367.0522222222221"/>
    <n v="2456.0077777777778"/>
  </r>
  <r>
    <x v="13"/>
    <s v="Odessa College "/>
    <m/>
    <n v="227304"/>
    <x v="7"/>
    <s v="sem"/>
    <s v="sem"/>
    <n v="43500"/>
    <n v="43419"/>
    <n v="7059"/>
    <n v="7383"/>
    <n v="5579"/>
    <n v="4854"/>
    <n v="44665"/>
    <n v="43112"/>
    <n v="100803"/>
    <n v="3360.1"/>
    <n v="98768"/>
    <n v="3292.2666666666669"/>
    <n v="9193"/>
    <n v="10092"/>
    <n v="100803"/>
    <n v="98768"/>
    <n v="72863"/>
    <n v="66361"/>
    <n v="57703"/>
    <n v="87615"/>
    <n v="76577"/>
    <n v="80000"/>
    <n v="84139"/>
    <n v="88040"/>
    <n v="291282"/>
    <n v="323.64666666666665"/>
    <n v="322016"/>
    <n v="357.79555555555555"/>
    <m/>
    <m/>
    <n v="0"/>
    <n v="0"/>
    <m/>
    <m/>
    <m/>
    <m/>
    <m/>
    <m/>
    <m/>
    <m/>
    <n v="0"/>
    <n v="0"/>
    <n v="0"/>
    <n v="0"/>
    <n v="3683.7466666666664"/>
    <n v="3650.0622222222223"/>
  </r>
  <r>
    <x v="13"/>
    <s v="Paris Junior College"/>
    <m/>
    <n v="227401"/>
    <x v="7"/>
    <s v="sem"/>
    <s v="sem"/>
    <n v="52581"/>
    <n v="55180"/>
    <n v="13117"/>
    <n v="19534"/>
    <n v="7247"/>
    <n v="0"/>
    <n v="58886"/>
    <n v="57170"/>
    <n v="131831"/>
    <n v="4394.3666666666668"/>
    <n v="131884"/>
    <n v="4396.1333333333332"/>
    <n v="12473"/>
    <n v="12465"/>
    <n v="131831"/>
    <n v="131884"/>
    <n v="24014"/>
    <n v="12188"/>
    <n v="17154"/>
    <n v="14789"/>
    <n v="15112"/>
    <n v="18928"/>
    <n v="18634"/>
    <n v="37412"/>
    <n v="74914"/>
    <n v="83.237777777777779"/>
    <n v="83317"/>
    <n v="92.574444444444438"/>
    <m/>
    <m/>
    <n v="0"/>
    <n v="0"/>
    <m/>
    <m/>
    <m/>
    <m/>
    <m/>
    <m/>
    <m/>
    <m/>
    <n v="0"/>
    <n v="0"/>
    <n v="0"/>
    <n v="0"/>
    <n v="4477.6044444444442"/>
    <n v="4488.7077777777777"/>
  </r>
  <r>
    <x v="13"/>
    <s v="Southwest Texas Junior College "/>
    <m/>
    <n v="228316"/>
    <x v="7"/>
    <s v="sem"/>
    <s v="sem"/>
    <n v="49538"/>
    <n v="50408"/>
    <n v="9687"/>
    <n v="8129"/>
    <n v="5009"/>
    <n v="4232"/>
    <n v="54329"/>
    <n v="48836"/>
    <n v="118563"/>
    <n v="3952.1"/>
    <n v="111605"/>
    <n v="3720.1666666666665"/>
    <n v="16075"/>
    <n v="14657"/>
    <n v="118563"/>
    <n v="111605"/>
    <n v="33708"/>
    <n v="64752"/>
    <n v="36157"/>
    <n v="14625"/>
    <n v="55458"/>
    <n v="41572"/>
    <n v="28812"/>
    <n v="17092"/>
    <n v="154135"/>
    <n v="171.26111111111112"/>
    <n v="138041"/>
    <n v="153.37888888888889"/>
    <m/>
    <m/>
    <n v="0"/>
    <n v="0"/>
    <m/>
    <m/>
    <m/>
    <m/>
    <m/>
    <m/>
    <m/>
    <m/>
    <n v="0"/>
    <n v="0"/>
    <n v="0"/>
    <n v="0"/>
    <n v="4123.3611111111113"/>
    <n v="3873.5455555555554"/>
  </r>
  <r>
    <x v="13"/>
    <s v="Temple College "/>
    <m/>
    <n v="228608"/>
    <x v="7"/>
    <s v="sem"/>
    <s v="sem"/>
    <n v="49299"/>
    <n v="51775"/>
    <n v="16303"/>
    <n v="14930"/>
    <n v="0"/>
    <n v="0"/>
    <n v="56569"/>
    <n v="54852"/>
    <n v="122171"/>
    <n v="4072.3666666666668"/>
    <n v="121557"/>
    <n v="4051.9"/>
    <n v="13531"/>
    <n v="12763"/>
    <n v="122171"/>
    <n v="121557"/>
    <n v="20306"/>
    <n v="24479"/>
    <n v="25598"/>
    <n v="31314"/>
    <n v="22373"/>
    <n v="25699"/>
    <n v="29686"/>
    <n v="40675"/>
    <n v="97963"/>
    <n v="108.84777777777778"/>
    <n v="122167"/>
    <n v="135.74111111111111"/>
    <m/>
    <m/>
    <n v="0"/>
    <n v="0"/>
    <m/>
    <m/>
    <m/>
    <m/>
    <m/>
    <m/>
    <m/>
    <m/>
    <n v="0"/>
    <n v="0"/>
    <n v="0"/>
    <n v="0"/>
    <n v="4181.2144444444448"/>
    <n v="4187.6411111111111"/>
  </r>
  <r>
    <x v="13"/>
    <s v="Texarkana College "/>
    <m/>
    <n v="228699"/>
    <x v="7"/>
    <s v="sem"/>
    <s v="sem"/>
    <n v="38862"/>
    <n v="34706"/>
    <n v="12738"/>
    <n v="10735"/>
    <n v="2192"/>
    <n v="2038"/>
    <n v="41184"/>
    <n v="40008"/>
    <n v="94976"/>
    <n v="3165.8666666666668"/>
    <n v="87487"/>
    <n v="2916.2333333333331"/>
    <n v="10933"/>
    <n v="11333"/>
    <n v="94976"/>
    <n v="87487"/>
    <n v="11998"/>
    <n v="98110"/>
    <n v="86019"/>
    <n v="98478"/>
    <n v="178348"/>
    <n v="72392"/>
    <n v="104749"/>
    <n v="105394"/>
    <n v="381114"/>
    <n v="423.46"/>
    <n v="374374"/>
    <n v="415.9711111111111"/>
    <m/>
    <m/>
    <n v="0"/>
    <n v="0"/>
    <m/>
    <m/>
    <m/>
    <m/>
    <m/>
    <m/>
    <m/>
    <m/>
    <n v="0"/>
    <n v="0"/>
    <n v="0"/>
    <n v="0"/>
    <n v="3589.3266666666668"/>
    <n v="3332.2044444444441"/>
  </r>
  <r>
    <x v="13"/>
    <s v="Texas State Technical College-Harlingen "/>
    <m/>
    <n v="229319"/>
    <x v="7"/>
    <s v="sem"/>
    <s v="sem"/>
    <n v="45809"/>
    <n v="46121"/>
    <n v="34934"/>
    <n v="32274"/>
    <n v="0"/>
    <n v="0"/>
    <n v="55266"/>
    <n v="51996"/>
    <n v="136009"/>
    <n v="4533.6333333333332"/>
    <n v="130391"/>
    <n v="4346.3666666666668"/>
    <n v="13258"/>
    <n v="12569"/>
    <n v="136009"/>
    <n v="130391"/>
    <n v="25798"/>
    <n v="18603"/>
    <n v="39074"/>
    <n v="23102"/>
    <n v="34558"/>
    <n v="15184"/>
    <n v="24452"/>
    <n v="33008"/>
    <n v="123882"/>
    <n v="137.64666666666668"/>
    <n v="89897"/>
    <n v="99.885555555555555"/>
    <m/>
    <m/>
    <n v="0"/>
    <n v="0"/>
    <m/>
    <m/>
    <m/>
    <m/>
    <m/>
    <m/>
    <m/>
    <m/>
    <n v="0"/>
    <n v="0"/>
    <n v="0"/>
    <n v="0"/>
    <n v="4671.28"/>
    <n v="4446.2522222222224"/>
  </r>
  <r>
    <x v="13"/>
    <s v="Vernon College "/>
    <m/>
    <n v="229504"/>
    <x v="7"/>
    <s v="sem"/>
    <s v="sem"/>
    <n v="28550"/>
    <n v="29097"/>
    <n v="5732"/>
    <n v="5183"/>
    <n v="6322"/>
    <n v="5631"/>
    <n v="27209"/>
    <n v="27668"/>
    <n v="67813"/>
    <n v="2260.4333333333334"/>
    <n v="67579"/>
    <n v="2252.6333333333332"/>
    <n v="5248"/>
    <n v="4750"/>
    <n v="67813"/>
    <n v="67579"/>
    <n v="34118"/>
    <n v="115567"/>
    <n v="51829"/>
    <n v="81514"/>
    <n v="88974"/>
    <n v="80695"/>
    <n v="197470"/>
    <n v="67010"/>
    <n v="372391"/>
    <n v="413.76777777777778"/>
    <n v="344786"/>
    <n v="383.09555555555556"/>
    <m/>
    <m/>
    <n v="0"/>
    <n v="0"/>
    <m/>
    <m/>
    <m/>
    <m/>
    <m/>
    <m/>
    <m/>
    <m/>
    <n v="0"/>
    <n v="0"/>
    <n v="0"/>
    <n v="0"/>
    <n v="2674.201111111111"/>
    <n v="2635.7288888888888"/>
  </r>
  <r>
    <x v="13"/>
    <s v="Victoria College "/>
    <m/>
    <n v="229540"/>
    <x v="7"/>
    <s v="sem"/>
    <s v="sem"/>
    <n v="34166"/>
    <n v="36419"/>
    <n v="11065"/>
    <n v="11591"/>
    <n v="0"/>
    <n v="0"/>
    <n v="36649"/>
    <n v="37972"/>
    <n v="81880"/>
    <n v="2729.3333333333335"/>
    <n v="85982"/>
    <n v="2866.0666666666666"/>
    <n v="4035"/>
    <n v="4305"/>
    <n v="81880"/>
    <n v="85982"/>
    <n v="40854"/>
    <n v="63662"/>
    <n v="25293"/>
    <n v="43590"/>
    <n v="61969"/>
    <n v="54037"/>
    <n v="47570"/>
    <n v="30631"/>
    <n v="175686"/>
    <n v="195.20666666666668"/>
    <n v="191920"/>
    <n v="213.24444444444444"/>
    <m/>
    <m/>
    <n v="0"/>
    <n v="0"/>
    <m/>
    <m/>
    <m/>
    <m/>
    <m/>
    <m/>
    <m/>
    <m/>
    <n v="0"/>
    <n v="0"/>
    <n v="0"/>
    <n v="0"/>
    <n v="2924.54"/>
    <n v="3079.3111111111111"/>
  </r>
  <r>
    <x v="13"/>
    <s v="Weatherford College "/>
    <m/>
    <n v="229799"/>
    <x v="7"/>
    <s v="sem"/>
    <s v="sem"/>
    <n v="48336"/>
    <n v="49452"/>
    <n v="8837"/>
    <n v="8529"/>
    <n v="4777"/>
    <n v="4770"/>
    <n v="54551"/>
    <n v="52346"/>
    <n v="116501"/>
    <n v="3883.3666666666668"/>
    <n v="115097"/>
    <n v="3836.5666666666666"/>
    <n v="7474"/>
    <n v="7563"/>
    <n v="116501"/>
    <n v="115097"/>
    <n v="33977"/>
    <n v="38867"/>
    <n v="38794"/>
    <n v="41503"/>
    <n v="29697"/>
    <n v="22689"/>
    <n v="55961"/>
    <n v="67648"/>
    <n v="158429"/>
    <n v="176.03222222222223"/>
    <n v="170707"/>
    <n v="189.67444444444445"/>
    <m/>
    <m/>
    <n v="0"/>
    <n v="0"/>
    <m/>
    <m/>
    <m/>
    <m/>
    <m/>
    <m/>
    <m/>
    <m/>
    <n v="0"/>
    <n v="0"/>
    <n v="0"/>
    <n v="0"/>
    <n v="4059.3988888888889"/>
    <n v="4026.241111111111"/>
  </r>
  <r>
    <x v="13"/>
    <s v="Wharton County Junior College "/>
    <m/>
    <n v="229841"/>
    <x v="7"/>
    <s v="sem"/>
    <s v="sem"/>
    <n v="60232"/>
    <n v="62408"/>
    <n v="13908"/>
    <n v="13918"/>
    <n v="6452"/>
    <n v="6525"/>
    <n v="64936"/>
    <n v="64170"/>
    <n v="145528"/>
    <n v="4850.9333333333334"/>
    <n v="147021"/>
    <n v="4900.7"/>
    <n v="9190"/>
    <n v="8090"/>
    <n v="145528"/>
    <n v="147021"/>
    <n v="9724"/>
    <n v="9360"/>
    <n v="5804"/>
    <n v="4824"/>
    <n v="24967"/>
    <n v="13930"/>
    <n v="24626"/>
    <n v="7454"/>
    <n v="65121"/>
    <n v="72.356666666666669"/>
    <n v="35568"/>
    <n v="39.520000000000003"/>
    <m/>
    <m/>
    <n v="0"/>
    <n v="0"/>
    <m/>
    <m/>
    <m/>
    <m/>
    <m/>
    <m/>
    <m/>
    <m/>
    <n v="0"/>
    <n v="0"/>
    <n v="0"/>
    <n v="0"/>
    <n v="4923.29"/>
    <n v="4940.22"/>
  </r>
  <r>
    <x v="13"/>
    <s v="Clarendon College "/>
    <m/>
    <n v="223922"/>
    <x v="8"/>
    <s v="sem"/>
    <s v="sem"/>
    <n v="14449"/>
    <n v="15450"/>
    <n v="1422"/>
    <n v="3282"/>
    <n v="3534"/>
    <n v="1606"/>
    <n v="15711"/>
    <n v="14358"/>
    <n v="35116"/>
    <n v="1170.5333333333333"/>
    <n v="34696"/>
    <n v="1156.5333333333333"/>
    <n v="4219"/>
    <n v="4409"/>
    <n v="35116"/>
    <n v="34696"/>
    <n v="4440"/>
    <n v="5602"/>
    <n v="11566"/>
    <n v="2425"/>
    <n v="568"/>
    <n v="3360"/>
    <n v="5478"/>
    <n v="5576"/>
    <n v="22052"/>
    <n v="24.502222222222223"/>
    <n v="16963"/>
    <n v="18.847777777777779"/>
    <m/>
    <m/>
    <n v="0"/>
    <n v="0"/>
    <m/>
    <m/>
    <m/>
    <m/>
    <m/>
    <m/>
    <m/>
    <m/>
    <n v="0"/>
    <n v="0"/>
    <n v="0"/>
    <n v="0"/>
    <n v="1195.0355555555554"/>
    <n v="1175.3811111111111"/>
  </r>
  <r>
    <x v="13"/>
    <s v="Frank Phillips College "/>
    <m/>
    <n v="224891"/>
    <x v="8"/>
    <s v="sem"/>
    <s v="sem"/>
    <n v="10739"/>
    <n v="10368"/>
    <n v="2292"/>
    <n v="2021"/>
    <n v="803"/>
    <n v="562"/>
    <n v="11733"/>
    <n v="9561"/>
    <n v="25567"/>
    <n v="852.23333333333335"/>
    <n v="22512"/>
    <n v="750.4"/>
    <n v="3282"/>
    <n v="3126"/>
    <n v="25567"/>
    <n v="22512"/>
    <n v="9973"/>
    <n v="14818"/>
    <n v="16636"/>
    <n v="25796"/>
    <n v="18736"/>
    <n v="31127"/>
    <n v="18924"/>
    <n v="31418"/>
    <n v="64269"/>
    <n v="71.41"/>
    <n v="103159"/>
    <n v="114.62111111111111"/>
    <m/>
    <m/>
    <n v="0"/>
    <n v="0"/>
    <m/>
    <m/>
    <m/>
    <m/>
    <m/>
    <m/>
    <m/>
    <m/>
    <n v="0"/>
    <n v="0"/>
    <n v="0"/>
    <n v="0"/>
    <n v="923.64333333333332"/>
    <n v="865.02111111111105"/>
  </r>
  <r>
    <x v="13"/>
    <s v="Galveston College "/>
    <m/>
    <n v="224961"/>
    <x v="8"/>
    <s v="sem"/>
    <s v="sem"/>
    <n v="18821"/>
    <n v="21048"/>
    <n v="3404"/>
    <n v="4600"/>
    <n v="4426"/>
    <n v="3411"/>
    <n v="19627"/>
    <n v="18833"/>
    <n v="46278"/>
    <n v="1542.6"/>
    <n v="47892"/>
    <n v="1596.4"/>
    <n v="2156"/>
    <n v="2272"/>
    <n v="46278"/>
    <n v="47892"/>
    <n v="11534"/>
    <n v="7218"/>
    <n v="5982"/>
    <n v="352"/>
    <n v="14318"/>
    <n v="1426"/>
    <n v="16324"/>
    <n v="5416"/>
    <n v="48158"/>
    <n v="53.50888888888889"/>
    <n v="14412"/>
    <n v="16.013333333333332"/>
    <m/>
    <m/>
    <n v="0"/>
    <n v="0"/>
    <m/>
    <m/>
    <m/>
    <m/>
    <m/>
    <m/>
    <m/>
    <m/>
    <n v="0"/>
    <n v="0"/>
    <n v="0"/>
    <n v="0"/>
    <n v="1596.1088888888887"/>
    <n v="1612.4133333333334"/>
  </r>
  <r>
    <x v="13"/>
    <s v="Lamar State College-Orange"/>
    <m/>
    <n v="226107"/>
    <x v="8"/>
    <s v="sem"/>
    <s v="sem"/>
    <n v="21302"/>
    <n v="23859"/>
    <n v="7599"/>
    <n v="7301"/>
    <n v="0"/>
    <n v="0"/>
    <n v="24693"/>
    <n v="24866"/>
    <n v="53594"/>
    <n v="1786.4666666666667"/>
    <n v="56026"/>
    <n v="1867.5333333333333"/>
    <n v="2111"/>
    <n v="3496"/>
    <n v="53594"/>
    <n v="56026"/>
    <n v="14287"/>
    <n v="3710"/>
    <n v="10594"/>
    <n v="6264"/>
    <n v="10326"/>
    <n v="9748"/>
    <n v="9658"/>
    <n v="5570"/>
    <n v="44865"/>
    <n v="49.85"/>
    <n v="25292"/>
    <n v="28.102222222222224"/>
    <m/>
    <m/>
    <n v="0"/>
    <n v="0"/>
    <m/>
    <m/>
    <m/>
    <m/>
    <m/>
    <m/>
    <m/>
    <m/>
    <n v="0"/>
    <n v="0"/>
    <n v="0"/>
    <n v="0"/>
    <n v="1836.3166666666666"/>
    <n v="1895.6355555555556"/>
  </r>
  <r>
    <x v="13"/>
    <s v="Lamar State College-Port Arthur"/>
    <s v="Met the criteria for Two-Year 2 in 2010-11 and 2011-12."/>
    <n v="226116"/>
    <x v="8"/>
    <s v="sem"/>
    <s v="sem"/>
    <n v="20317"/>
    <n v="24710"/>
    <n v="4059"/>
    <n v="8495"/>
    <n v="3404"/>
    <n v="3143"/>
    <n v="23154"/>
    <n v="22917"/>
    <n v="50934"/>
    <n v="1697.8"/>
    <n v="59265"/>
    <n v="1975.5"/>
    <n v="2363"/>
    <n v="2050"/>
    <n v="50934"/>
    <n v="59265"/>
    <n v="82932"/>
    <n v="79181"/>
    <n v="67716"/>
    <n v="68240"/>
    <n v="46918"/>
    <n v="53712"/>
    <n v="97408"/>
    <n v="97248"/>
    <n v="294974"/>
    <n v="327.74888888888887"/>
    <n v="298381"/>
    <n v="331.53444444444443"/>
    <m/>
    <m/>
    <n v="0"/>
    <n v="0"/>
    <m/>
    <m/>
    <m/>
    <m/>
    <m/>
    <m/>
    <m/>
    <m/>
    <n v="0"/>
    <n v="0"/>
    <n v="0"/>
    <n v="0"/>
    <n v="2025.5488888888888"/>
    <n v="2307.0344444444445"/>
  </r>
  <r>
    <x v="13"/>
    <s v="Northeast Lakeview College (ACCD)"/>
    <m/>
    <s v="???"/>
    <x v="8"/>
    <s v="sem"/>
    <s v="sem"/>
    <n v="4772"/>
    <n v="7011"/>
    <n v="634"/>
    <n v="608"/>
    <n v="262"/>
    <n v="0"/>
    <n v="8315"/>
    <n v="6307"/>
    <n v="13983"/>
    <n v="466.1"/>
    <n v="13926"/>
    <n v="464.2"/>
    <n v="9"/>
    <n v="13"/>
    <n v="13983"/>
    <n v="13926"/>
    <n v="4404"/>
    <n v="14184"/>
    <n v="6048"/>
    <n v="17464"/>
    <n v="9244"/>
    <n v="19808"/>
    <n v="17168"/>
    <n v="14280"/>
    <n v="36864"/>
    <n v="40.96"/>
    <n v="65736"/>
    <n v="73.040000000000006"/>
    <m/>
    <m/>
    <n v="0"/>
    <n v="0"/>
    <m/>
    <m/>
    <m/>
    <m/>
    <m/>
    <m/>
    <m/>
    <m/>
    <n v="0"/>
    <n v="0"/>
    <n v="0"/>
    <n v="0"/>
    <n v="507.06"/>
    <n v="537.24"/>
  </r>
  <r>
    <x v="13"/>
    <s v="Panola College"/>
    <m/>
    <n v="227386"/>
    <x v="8"/>
    <s v="sem"/>
    <s v="sem"/>
    <n v="19978"/>
    <n v="21103"/>
    <n v="4238"/>
    <n v="3884"/>
    <n v="1424"/>
    <n v="1652"/>
    <n v="22057"/>
    <n v="24407"/>
    <n v="47697"/>
    <n v="1589.9"/>
    <n v="51046"/>
    <n v="1701.5333333333333"/>
    <n v="3990"/>
    <n v="4557"/>
    <n v="47697"/>
    <n v="51046"/>
    <n v="12581"/>
    <n v="11636"/>
    <n v="16771"/>
    <n v="4801"/>
    <n v="10656"/>
    <n v="16276"/>
    <n v="9470"/>
    <n v="7011"/>
    <n v="49478"/>
    <n v="54.975555555555559"/>
    <n v="39724"/>
    <n v="44.137777777777778"/>
    <m/>
    <m/>
    <n v="0"/>
    <n v="0"/>
    <m/>
    <m/>
    <m/>
    <m/>
    <m/>
    <m/>
    <m/>
    <m/>
    <n v="0"/>
    <n v="0"/>
    <n v="0"/>
    <n v="0"/>
    <n v="1644.8755555555556"/>
    <n v="1745.671111111111"/>
  </r>
  <r>
    <x v="13"/>
    <s v="Ranger College "/>
    <m/>
    <n v="227687"/>
    <x v="8"/>
    <s v="sem"/>
    <s v="sem"/>
    <n v="8613"/>
    <n v="13281"/>
    <n v="2289"/>
    <n v="3013"/>
    <n v="496"/>
    <n v="720"/>
    <n v="15194"/>
    <n v="17826"/>
    <n v="26592"/>
    <n v="886.4"/>
    <n v="34840"/>
    <n v="1161.3333333333333"/>
    <n v="4338"/>
    <n v="4096"/>
    <n v="26592"/>
    <n v="34840"/>
    <n v="5351"/>
    <n v="1235"/>
    <n v="4712"/>
    <n v="4892"/>
    <n v="5787"/>
    <n v="1552"/>
    <n v="831"/>
    <n v="756"/>
    <n v="16681"/>
    <n v="18.534444444444443"/>
    <n v="8435"/>
    <n v="9.3722222222222218"/>
    <m/>
    <m/>
    <n v="0"/>
    <n v="0"/>
    <m/>
    <m/>
    <m/>
    <m/>
    <m/>
    <m/>
    <m/>
    <m/>
    <n v="0"/>
    <n v="0"/>
    <n v="0"/>
    <n v="0"/>
    <n v="904.93444444444447"/>
    <n v="1170.7055555555555"/>
  </r>
  <r>
    <x v="13"/>
    <s v="Southwest Collegiate Institute for the Deaf (HCJCD)"/>
    <m/>
    <n v="382911"/>
    <x v="8"/>
    <s v="sem"/>
    <s v="sem"/>
    <n v="1001"/>
    <n v="1056"/>
    <m/>
    <n v="27"/>
    <m/>
    <n v="21"/>
    <n v="1066"/>
    <n v="1615"/>
    <n v="2067"/>
    <n v="68.900000000000006"/>
    <n v="2719"/>
    <n v="90.63333333333334"/>
    <n v="0"/>
    <n v="66"/>
    <n v="2067"/>
    <n v="2719"/>
    <m/>
    <m/>
    <m/>
    <m/>
    <m/>
    <m/>
    <m/>
    <m/>
    <n v="0"/>
    <n v="0"/>
    <n v="0"/>
    <n v="0"/>
    <m/>
    <m/>
    <n v="0"/>
    <n v="0"/>
    <m/>
    <m/>
    <m/>
    <m/>
    <m/>
    <m/>
    <m/>
    <m/>
    <n v="0"/>
    <n v="0"/>
    <n v="0"/>
    <n v="0"/>
    <n v="68.900000000000006"/>
    <n v="90.63333333333334"/>
  </r>
  <r>
    <x v="13"/>
    <s v="Texas State Technical College-Marshall"/>
    <m/>
    <n v="408394"/>
    <x v="8"/>
    <s v="sem"/>
    <s v="sem"/>
    <n v="9206"/>
    <n v="8519"/>
    <n v="5669"/>
    <n v="5577"/>
    <n v="0"/>
    <n v="0"/>
    <n v="8900"/>
    <n v="7361"/>
    <n v="23775"/>
    <n v="792.5"/>
    <n v="21457"/>
    <n v="715.23333333333335"/>
    <n v="2424"/>
    <n v="1945"/>
    <n v="23775"/>
    <n v="21457"/>
    <n v="8516"/>
    <n v="4664"/>
    <n v="5784"/>
    <n v="8816"/>
    <n v="780"/>
    <n v="4812"/>
    <n v="884"/>
    <n v="3254"/>
    <n v="15964"/>
    <n v="17.737777777777779"/>
    <n v="21546"/>
    <n v="23.94"/>
    <m/>
    <m/>
    <n v="0"/>
    <n v="0"/>
    <m/>
    <m/>
    <m/>
    <m/>
    <m/>
    <m/>
    <m/>
    <m/>
    <n v="0"/>
    <n v="0"/>
    <n v="0"/>
    <n v="0"/>
    <n v="810.23777777777775"/>
    <n v="739.1733333333334"/>
  </r>
  <r>
    <x v="13"/>
    <s v="Texas State Technical College-West Texas"/>
    <m/>
    <n v="229328"/>
    <x v="8"/>
    <s v="sem"/>
    <s v="sem"/>
    <n v="15214"/>
    <n v="9998"/>
    <n v="11520"/>
    <n v="6966"/>
    <n v="0"/>
    <n v="0"/>
    <n v="11941"/>
    <n v="8244"/>
    <n v="38675"/>
    <n v="1289.1666666666667"/>
    <n v="25208"/>
    <n v="840.26666666666665"/>
    <n v="1450"/>
    <n v="1671"/>
    <n v="38675"/>
    <n v="25208"/>
    <n v="5849"/>
    <n v="1326"/>
    <n v="3994"/>
    <n v="2680"/>
    <n v="3591"/>
    <n v="1680"/>
    <n v="99"/>
    <n v="3806"/>
    <n v="13533"/>
    <n v="15.036666666666667"/>
    <n v="9492"/>
    <n v="10.546666666666667"/>
    <m/>
    <m/>
    <n v="0"/>
    <n v="0"/>
    <m/>
    <m/>
    <m/>
    <m/>
    <m/>
    <m/>
    <m/>
    <m/>
    <n v="0"/>
    <n v="0"/>
    <n v="0"/>
    <n v="0"/>
    <n v="1304.2033333333334"/>
    <n v="850.81333333333328"/>
  </r>
  <r>
    <x v="13"/>
    <s v="Western Texas College "/>
    <m/>
    <n v="229832"/>
    <x v="8"/>
    <s v="sem"/>
    <s v="sem"/>
    <n v="18752"/>
    <n v="18588"/>
    <n v="5609"/>
    <n v="6757"/>
    <n v="3942"/>
    <n v="2025"/>
    <n v="18773"/>
    <n v="19091"/>
    <n v="47076"/>
    <n v="1569.2"/>
    <n v="46461"/>
    <n v="1548.7"/>
    <n v="6293"/>
    <n v="7647"/>
    <n v="47076"/>
    <n v="46461"/>
    <n v="62084"/>
    <n v="55834"/>
    <n v="58337"/>
    <n v="43685"/>
    <n v="38324"/>
    <n v="25964"/>
    <n v="48226"/>
    <n v="51524"/>
    <n v="206971"/>
    <n v="229.96777777777777"/>
    <n v="177007"/>
    <n v="196.67444444444445"/>
    <m/>
    <m/>
    <n v="0"/>
    <n v="0"/>
    <m/>
    <m/>
    <m/>
    <m/>
    <m/>
    <m/>
    <m/>
    <m/>
    <n v="0"/>
    <n v="0"/>
    <n v="0"/>
    <n v="0"/>
    <n v="1799.1677777777777"/>
    <n v="1745.3744444444444"/>
  </r>
  <r>
    <x v="13"/>
    <s v="University of North Texas at Dallas"/>
    <s v="New fall 2009. No degrees yet granted."/>
    <m/>
    <x v="12"/>
    <m/>
    <s v="sem"/>
    <m/>
    <m/>
    <n v="11169"/>
    <n v="12946"/>
    <n v="3000"/>
    <n v="3846"/>
    <n v="13632"/>
    <n v="14752"/>
    <n v="27801"/>
    <n v="926.7"/>
    <n v="31544"/>
    <n v="1051.4666666666667"/>
    <m/>
    <n v="0"/>
    <n v="0"/>
    <n v="31544"/>
    <m/>
    <m/>
    <m/>
    <m/>
    <m/>
    <m/>
    <m/>
    <m/>
    <n v="0"/>
    <n v="0"/>
    <n v="0"/>
    <n v="0"/>
    <m/>
    <m/>
    <n v="0"/>
    <n v="0"/>
    <m/>
    <m/>
    <n v="1813"/>
    <n v="1337"/>
    <n v="1245"/>
    <n v="1234"/>
    <n v="1440"/>
    <n v="1281"/>
    <n v="4498"/>
    <n v="187.41666666666666"/>
    <n v="3852"/>
    <n v="160.5"/>
    <n v="1114.1166666666668"/>
    <n v="1211.9666666666667"/>
  </r>
  <r>
    <x v="13"/>
    <s v="Texas A &amp; M University - Central Texas"/>
    <s v="New fall 2009. Met the criteria for Four-Year 4 in 2010-11 and 2011-12."/>
    <m/>
    <x v="12"/>
    <m/>
    <s v="sem"/>
    <m/>
    <m/>
    <n v="12512"/>
    <n v="12402"/>
    <n v="8082"/>
    <n v="8451"/>
    <n v="10510"/>
    <n v="10262"/>
    <n v="31104"/>
    <n v="1036.8"/>
    <n v="31115"/>
    <n v="1037.1666666666667"/>
    <m/>
    <n v="0"/>
    <n v="0"/>
    <n v="31115"/>
    <m/>
    <m/>
    <m/>
    <m/>
    <m/>
    <m/>
    <m/>
    <m/>
    <n v="0"/>
    <n v="0"/>
    <n v="0"/>
    <n v="0"/>
    <m/>
    <m/>
    <n v="0"/>
    <n v="0"/>
    <m/>
    <m/>
    <n v="4625"/>
    <n v="4516"/>
    <n v="3805"/>
    <n v="3173"/>
    <n v="3754"/>
    <n v="3797"/>
    <n v="12184"/>
    <n v="507.66666666666669"/>
    <n v="11486"/>
    <n v="478.58333333333331"/>
    <n v="1544.4666666666667"/>
    <n v="1515.75"/>
  </r>
  <r>
    <x v="13"/>
    <s v="Texas A &amp; M University - San Antonio"/>
    <s v="New fall 2009. Met the criteria for Four-Year 5 in 2010-11 and 2011-12."/>
    <s v="870501"/>
    <x v="12"/>
    <m/>
    <s v="sem"/>
    <m/>
    <m/>
    <n v="18064"/>
    <n v="21987"/>
    <n v="6416"/>
    <n v="6950"/>
    <n v="22386"/>
    <n v="25096"/>
    <n v="46866"/>
    <n v="1562.2"/>
    <n v="54033"/>
    <n v="1801.1"/>
    <m/>
    <n v="0"/>
    <n v="0"/>
    <n v="54033"/>
    <m/>
    <m/>
    <m/>
    <m/>
    <m/>
    <m/>
    <m/>
    <m/>
    <n v="0"/>
    <n v="0"/>
    <n v="0"/>
    <n v="0"/>
    <m/>
    <m/>
    <n v="0"/>
    <n v="0"/>
    <m/>
    <m/>
    <n v="4647"/>
    <n v="5762"/>
    <n v="2739"/>
    <n v="2996"/>
    <n v="5249"/>
    <n v="6123"/>
    <n v="12635"/>
    <n v="526.45833333333337"/>
    <n v="14881"/>
    <n v="620.04166666666663"/>
    <n v="2088.6583333333333"/>
    <n v="2421.1416666666664"/>
  </r>
  <r>
    <x v="13"/>
    <s v="Alamo Community College District (ACCD)"/>
    <m/>
    <m/>
    <x v="13"/>
    <s v="sem"/>
    <s v="sem"/>
    <n v="450022"/>
    <n v="454427"/>
    <n v="131169"/>
    <n v="129478"/>
    <n v="56942"/>
    <n v="45757"/>
    <n v="430805"/>
    <n v="438278"/>
    <n v="1068938"/>
    <n v="35631.26666666667"/>
    <n v="1067940"/>
    <n v="35598"/>
    <n v="77027"/>
    <n v="86103"/>
    <n v="1068938"/>
    <n v="1067940"/>
    <n v="413918"/>
    <n v="336581"/>
    <n v="368849"/>
    <n v="307577"/>
    <n v="337145"/>
    <n v="276608"/>
    <n v="464306"/>
    <n v="452407"/>
    <n v="1584218"/>
    <n v="1760.2422222222222"/>
    <n v="1373173"/>
    <n v="1525.7477777777779"/>
    <m/>
    <m/>
    <n v="0"/>
    <n v="0"/>
    <m/>
    <m/>
    <m/>
    <m/>
    <m/>
    <m/>
    <m/>
    <m/>
    <n v="0"/>
    <n v="0"/>
    <n v="0"/>
    <n v="0"/>
    <n v="37391.508888888893"/>
    <n v="37123.747777777775"/>
  </r>
  <r>
    <x v="13"/>
    <s v="Dallas County Community College District (DCCD)"/>
    <m/>
    <m/>
    <x v="13"/>
    <s v="sem"/>
    <s v="sem"/>
    <n v="397373"/>
    <n v="419174"/>
    <n v="132678"/>
    <n v="137858"/>
    <n v="53982"/>
    <n v="44173"/>
    <n v="369579"/>
    <n v="396897"/>
    <n v="953612"/>
    <n v="31787.066666666666"/>
    <n v="998102"/>
    <n v="33270.066666666666"/>
    <n v="59585"/>
    <n v="76982"/>
    <n v="953612"/>
    <n v="998102"/>
    <n v="702087"/>
    <n v="409440"/>
    <n v="661270"/>
    <n v="441972"/>
    <n v="784824"/>
    <n v="380325"/>
    <n v="803876"/>
    <n v="490360"/>
    <n v="2952057"/>
    <n v="3280.0633333333335"/>
    <n v="1722097"/>
    <n v="1913.441111111111"/>
    <m/>
    <m/>
    <n v="0"/>
    <n v="0"/>
    <m/>
    <m/>
    <m/>
    <m/>
    <m/>
    <m/>
    <m/>
    <m/>
    <n v="0"/>
    <n v="0"/>
    <n v="0"/>
    <n v="0"/>
    <n v="35067.129999999997"/>
    <n v="35183.507777777777"/>
  </r>
  <r>
    <x v="13"/>
    <s v="Dallas County Community College District (DCCD)"/>
    <m/>
    <m/>
    <x v="14"/>
    <s v="sem"/>
    <s v="sem"/>
    <n v="135267"/>
    <n v="144190"/>
    <n v="27603"/>
    <n v="22190"/>
    <n v="9997"/>
    <n v="10253"/>
    <n v="153741"/>
    <n v="147529"/>
    <n v="326608"/>
    <n v="10886.933333333332"/>
    <n v="324162"/>
    <n v="10805.4"/>
    <n v="15216"/>
    <n v="16539"/>
    <n v="326608"/>
    <n v="324162"/>
    <n v="119465"/>
    <n v="97164"/>
    <n v="136688"/>
    <n v="99119"/>
    <n v="100572"/>
    <n v="102046"/>
    <n v="108237"/>
    <n v="99600"/>
    <n v="464962"/>
    <n v="516.62444444444441"/>
    <n v="397929"/>
    <n v="442.14333333333332"/>
    <m/>
    <m/>
    <n v="0"/>
    <n v="0"/>
    <m/>
    <m/>
    <m/>
    <m/>
    <m/>
    <m/>
    <m/>
    <m/>
    <n v="0"/>
    <n v="0"/>
    <n v="0"/>
    <n v="0"/>
    <n v="11403.557777777776"/>
    <n v="11247.543333333333"/>
  </r>
  <r>
    <x v="13"/>
    <s v="Howard County Community/Junior College District (HCJCD)"/>
    <m/>
    <m/>
    <x v="14"/>
    <s v="sem"/>
    <s v="sem"/>
    <n v="35496"/>
    <n v="36112"/>
    <n v="8725"/>
    <n v="9727"/>
    <n v="7822"/>
    <n v="7532"/>
    <n v="35705"/>
    <n v="33935"/>
    <n v="87748"/>
    <n v="2924.9333333333334"/>
    <n v="87306"/>
    <n v="2910.2"/>
    <n v="7171"/>
    <n v="8066"/>
    <n v="87748"/>
    <n v="87306"/>
    <n v="70285"/>
    <n v="53328"/>
    <n v="65267"/>
    <n v="36974"/>
    <n v="63442"/>
    <n v="52758"/>
    <n v="63027"/>
    <n v="48765"/>
    <n v="262021"/>
    <n v="291.13444444444445"/>
    <n v="191825"/>
    <n v="213.13888888888889"/>
    <m/>
    <m/>
    <n v="0"/>
    <n v="0"/>
    <m/>
    <m/>
    <m/>
    <m/>
    <m/>
    <m/>
    <m/>
    <m/>
    <n v="0"/>
    <n v="0"/>
    <n v="0"/>
    <n v="0"/>
    <n v="3216.0677777777778"/>
    <n v="3123.3388888888885"/>
  </r>
  <r>
    <x v="13"/>
    <s v="Alamo Community College District (ACCD)"/>
    <m/>
    <m/>
    <x v="15"/>
    <s v="sem"/>
    <s v="sem"/>
    <n v="20317"/>
    <n v="24710"/>
    <n v="4059"/>
    <n v="8495"/>
    <n v="3404"/>
    <n v="3143"/>
    <n v="23154"/>
    <n v="22917"/>
    <n v="50934"/>
    <n v="1697.8"/>
    <n v="59265"/>
    <n v="1975.5"/>
    <n v="2363"/>
    <n v="2050"/>
    <n v="50934"/>
    <n v="59265"/>
    <n v="82932"/>
    <n v="79181"/>
    <n v="67716"/>
    <n v="68240"/>
    <n v="46918"/>
    <n v="53712"/>
    <n v="97408"/>
    <n v="97248"/>
    <n v="294974"/>
    <n v="327.74888888888887"/>
    <n v="298381"/>
    <n v="331.53444444444443"/>
    <m/>
    <m/>
    <n v="0"/>
    <n v="0"/>
    <m/>
    <m/>
    <m/>
    <m/>
    <m/>
    <m/>
    <m/>
    <m/>
    <n v="0"/>
    <n v="0"/>
    <n v="0"/>
    <n v="0"/>
    <n v="2025.5488888888888"/>
    <n v="2307.0344444444445"/>
  </r>
  <r>
    <x v="13"/>
    <s v="Howard County Community/Junior College District (HCJCD)"/>
    <m/>
    <m/>
    <x v="15"/>
    <s v="sem"/>
    <s v="sem"/>
    <n v="1001"/>
    <n v="1056"/>
    <n v="0"/>
    <n v="27"/>
    <n v="0"/>
    <n v="21"/>
    <n v="1066"/>
    <n v="1615"/>
    <n v="2067"/>
    <n v="68.900000000000006"/>
    <n v="2719"/>
    <n v="90.63333333333334"/>
    <n v="0"/>
    <n v="66"/>
    <n v="2067"/>
    <n v="2719"/>
    <n v="0"/>
    <n v="0"/>
    <n v="0"/>
    <n v="0"/>
    <n v="0"/>
    <n v="0"/>
    <n v="0"/>
    <n v="0"/>
    <n v="0"/>
    <n v="0"/>
    <n v="0"/>
    <n v="0"/>
    <m/>
    <m/>
    <n v="0"/>
    <n v="0"/>
    <m/>
    <m/>
    <m/>
    <m/>
    <m/>
    <m/>
    <m/>
    <m/>
    <n v="0"/>
    <n v="0"/>
    <n v="0"/>
    <n v="0"/>
    <n v="68.900000000000006"/>
    <n v="90.63333333333334"/>
  </r>
  <r>
    <x v="13"/>
    <s v="Alamo Community College District (ACCD)"/>
    <m/>
    <m/>
    <x v="16"/>
    <s v="sem"/>
    <s v="sem"/>
    <n v="470339"/>
    <n v="479137"/>
    <n v="135228"/>
    <n v="137973"/>
    <n v="60346"/>
    <n v="48900"/>
    <n v="453959"/>
    <n v="461195"/>
    <n v="1119872"/>
    <n v="37329.066666666666"/>
    <n v="1127205"/>
    <n v="37573.5"/>
    <n v="79390"/>
    <n v="88153"/>
    <n v="1119872"/>
    <n v="1127205"/>
    <n v="496850"/>
    <n v="415762"/>
    <n v="436565"/>
    <n v="375817"/>
    <n v="384063"/>
    <n v="330320"/>
    <n v="561714"/>
    <n v="549655"/>
    <n v="1879192"/>
    <n v="2087.991111111111"/>
    <n v="1671554"/>
    <n v="1857.2822222222221"/>
    <m/>
    <m/>
    <n v="0"/>
    <n v="0"/>
    <m/>
    <m/>
    <m/>
    <m/>
    <m/>
    <m/>
    <m/>
    <m/>
    <n v="0"/>
    <n v="0"/>
    <n v="0"/>
    <n v="0"/>
    <n v="39417.05777777778"/>
    <n v="39430.782222222224"/>
  </r>
  <r>
    <x v="13"/>
    <s v="Dallas County Community College District (DCCD)"/>
    <m/>
    <m/>
    <x v="16"/>
    <s v="sem"/>
    <s v="sem"/>
    <n v="532640"/>
    <n v="563364"/>
    <n v="160281"/>
    <n v="160048"/>
    <n v="63979"/>
    <n v="54426"/>
    <n v="523320"/>
    <n v="544426"/>
    <n v="1280220"/>
    <n v="42674"/>
    <n v="1322264"/>
    <n v="44075.466666666667"/>
    <n v="74801"/>
    <n v="93521"/>
    <n v="1280220"/>
    <n v="1322264"/>
    <n v="821552"/>
    <n v="506604"/>
    <n v="797958"/>
    <n v="541091"/>
    <n v="885396"/>
    <n v="482371"/>
    <n v="912113"/>
    <n v="589960"/>
    <n v="3417019"/>
    <n v="3796.6877777777777"/>
    <n v="2120026"/>
    <n v="2355.5844444444447"/>
    <m/>
    <m/>
    <n v="0"/>
    <n v="0"/>
    <m/>
    <m/>
    <m/>
    <m/>
    <m/>
    <m/>
    <m/>
    <m/>
    <n v="0"/>
    <n v="0"/>
    <n v="0"/>
    <n v="0"/>
    <n v="46470.687777777777"/>
    <n v="46431.051111111112"/>
  </r>
  <r>
    <x v="13"/>
    <s v="Howard County Community/Junior College District (HCJCD)"/>
    <m/>
    <m/>
    <x v="16"/>
    <s v="sem"/>
    <s v="sem"/>
    <n v="36497"/>
    <n v="37168"/>
    <n v="8725"/>
    <n v="9754"/>
    <n v="7822"/>
    <n v="7553"/>
    <n v="36771"/>
    <n v="35550"/>
    <n v="89815"/>
    <n v="2993.8333333333335"/>
    <n v="90025"/>
    <n v="3000.8333333333335"/>
    <n v="7171"/>
    <n v="8132"/>
    <n v="89815"/>
    <n v="90025"/>
    <n v="70285"/>
    <n v="53328"/>
    <n v="65267"/>
    <n v="36974"/>
    <n v="63442"/>
    <n v="52758"/>
    <n v="63027"/>
    <n v="48765"/>
    <n v="262021"/>
    <n v="291.13444444444445"/>
    <n v="191825"/>
    <n v="213.13888888888889"/>
    <m/>
    <m/>
    <n v="0"/>
    <n v="0"/>
    <m/>
    <m/>
    <m/>
    <m/>
    <m/>
    <m/>
    <m/>
    <m/>
    <n v="0"/>
    <n v="0"/>
    <n v="0"/>
    <n v="0"/>
    <n v="3284.9677777777779"/>
    <n v="3213.9722222222222"/>
  </r>
  <r>
    <x v="14"/>
    <s v="George Mason University "/>
    <m/>
    <n v="232186"/>
    <x v="0"/>
    <s v="sem"/>
    <s v="sem"/>
    <m/>
    <m/>
    <n v="242007"/>
    <n v="251312"/>
    <n v="44507"/>
    <n v="49339"/>
    <n v="260192.5"/>
    <n v="270328.5"/>
    <n v="546706.5"/>
    <n v="18223.55"/>
    <n v="570979.5"/>
    <n v="19032.650000000001"/>
    <n v="1881"/>
    <n v="24514"/>
    <n v="546706.5"/>
    <n v="570979.5"/>
    <m/>
    <m/>
    <m/>
    <m/>
    <m/>
    <m/>
    <m/>
    <m/>
    <n v="0"/>
    <n v="0"/>
    <n v="0"/>
    <n v="0"/>
    <m/>
    <m/>
    <n v="0"/>
    <n v="0"/>
    <m/>
    <m/>
    <n v="73910.100000000006"/>
    <n v="77490"/>
    <n v="19404.8"/>
    <n v="20222.5"/>
    <n v="76432"/>
    <n v="79520"/>
    <n v="169746.90000000002"/>
    <n v="7072.7875000000013"/>
    <n v="177232.5"/>
    <n v="7384.6875"/>
    <n v="25296.337500000001"/>
    <n v="26417.337500000001"/>
  </r>
  <r>
    <x v="14"/>
    <s v="Old Dominion University "/>
    <m/>
    <n v="232982"/>
    <x v="0"/>
    <s v="sem"/>
    <s v="sem"/>
    <m/>
    <m/>
    <n v="206399"/>
    <n v="215941"/>
    <n v="49828"/>
    <n v="52395"/>
    <n v="228798"/>
    <n v="233487"/>
    <n v="485025"/>
    <n v="16167.5"/>
    <n v="501823"/>
    <n v="16727.433333333334"/>
    <n v="45"/>
    <n v="0"/>
    <n v="485025"/>
    <n v="501823"/>
    <m/>
    <m/>
    <m/>
    <m/>
    <m/>
    <m/>
    <m/>
    <m/>
    <n v="0"/>
    <n v="0"/>
    <n v="0"/>
    <n v="0"/>
    <m/>
    <m/>
    <n v="0"/>
    <n v="0"/>
    <m/>
    <m/>
    <n v="31548"/>
    <n v="30307"/>
    <n v="15740"/>
    <n v="14718"/>
    <n v="34274"/>
    <n v="31094"/>
    <n v="81562"/>
    <n v="3398.4166666666665"/>
    <n v="76119"/>
    <n v="3171.625"/>
    <n v="19565.916666666668"/>
    <n v="19899.058333333334"/>
  </r>
  <r>
    <x v="14"/>
    <s v="University of Virginia"/>
    <m/>
    <n v="234076"/>
    <x v="0"/>
    <s v="sem"/>
    <s v="sem"/>
    <m/>
    <m/>
    <n v="214562"/>
    <n v="216264"/>
    <n v="29113"/>
    <n v="30124"/>
    <n v="219298"/>
    <n v="221447.5"/>
    <n v="462973"/>
    <n v="15432.433333333332"/>
    <n v="467835.5"/>
    <n v="15594.516666666666"/>
    <n v="0"/>
    <n v="0"/>
    <n v="462973"/>
    <n v="467835.5"/>
    <m/>
    <m/>
    <m/>
    <m/>
    <m/>
    <m/>
    <m/>
    <m/>
    <n v="0"/>
    <n v="0"/>
    <n v="0"/>
    <n v="0"/>
    <m/>
    <m/>
    <n v="0"/>
    <n v="0"/>
    <m/>
    <m/>
    <n v="91945.399999999907"/>
    <n v="93016.5"/>
    <n v="19315.5"/>
    <n v="19242.5"/>
    <n v="85939"/>
    <n v="90860"/>
    <n v="197199.89999999991"/>
    <n v="8216.6624999999967"/>
    <n v="203119"/>
    <n v="8463.2916666666661"/>
    <n v="23649.095833333329"/>
    <n v="24057.808333333334"/>
  </r>
  <r>
    <x v="14"/>
    <s v="Virginia Tech "/>
    <m/>
    <n v="233921"/>
    <x v="0"/>
    <s v="sem"/>
    <s v="sem"/>
    <m/>
    <m/>
    <n v="342989"/>
    <n v="345606"/>
    <n v="36566"/>
    <n v="37992"/>
    <n v="365425"/>
    <n v="364620"/>
    <n v="744980"/>
    <n v="24832.666666666668"/>
    <n v="748218"/>
    <n v="24940.6"/>
    <n v="0"/>
    <n v="0"/>
    <n v="744980"/>
    <n v="748218"/>
    <m/>
    <m/>
    <m/>
    <m/>
    <m/>
    <m/>
    <m/>
    <m/>
    <n v="0"/>
    <n v="0"/>
    <n v="0"/>
    <n v="0"/>
    <m/>
    <m/>
    <n v="0"/>
    <n v="0"/>
    <m/>
    <m/>
    <n v="65851"/>
    <n v="67579"/>
    <n v="7969"/>
    <n v="8388"/>
    <n v="70812"/>
    <n v="67981"/>
    <n v="144632"/>
    <n v="6026.333333333333"/>
    <n v="143948"/>
    <n v="5997.833333333333"/>
    <n v="30859"/>
    <n v="30938.433333333331"/>
  </r>
  <r>
    <x v="14"/>
    <s v="College of William &amp; Mary"/>
    <m/>
    <n v="231624"/>
    <x v="1"/>
    <s v="sem"/>
    <s v="sem"/>
    <m/>
    <m/>
    <n v="80616.5"/>
    <n v="80865.5"/>
    <n v="5790"/>
    <n v="8242"/>
    <n v="83030"/>
    <n v="86293.5"/>
    <n v="169436.5"/>
    <n v="5647.8833333333332"/>
    <n v="175401"/>
    <n v="5846.7"/>
    <n v="0"/>
    <n v="0"/>
    <n v="169436.5"/>
    <n v="175401"/>
    <m/>
    <m/>
    <m/>
    <m/>
    <m/>
    <m/>
    <m/>
    <m/>
    <n v="0"/>
    <n v="0"/>
    <n v="0"/>
    <n v="0"/>
    <m/>
    <m/>
    <n v="0"/>
    <n v="0"/>
    <m/>
    <m/>
    <n v="24115.5"/>
    <n v="24343.5"/>
    <n v="4611"/>
    <n v="4532.5"/>
    <n v="25198"/>
    <n v="25887.5"/>
    <n v="53924.5"/>
    <n v="2246.8541666666665"/>
    <n v="54763.5"/>
    <n v="2281.8125"/>
    <n v="7894.7374999999993"/>
    <n v="8128.5124999999998"/>
  </r>
  <r>
    <x v="14"/>
    <s v="Virginia Commonwealth University"/>
    <s v="Met the criteria for Four-Year 1 in 2011-2012"/>
    <n v="234030"/>
    <x v="1"/>
    <s v="sem"/>
    <s v="sem"/>
    <m/>
    <m/>
    <n v="290545"/>
    <n v="290741"/>
    <n v="46445.5"/>
    <n v="43683.5"/>
    <n v="311372"/>
    <n v="315682"/>
    <n v="648362.5"/>
    <n v="21612.083333333332"/>
    <n v="650106.5"/>
    <n v="21670.216666666667"/>
    <n v="4740"/>
    <n v="7584"/>
    <n v="648362.5"/>
    <n v="650106.5"/>
    <m/>
    <m/>
    <m/>
    <m/>
    <m/>
    <m/>
    <m/>
    <m/>
    <n v="0"/>
    <n v="0"/>
    <n v="0"/>
    <n v="0"/>
    <m/>
    <m/>
    <n v="0"/>
    <n v="0"/>
    <m/>
    <m/>
    <n v="63780.5"/>
    <n v="61410.5"/>
    <n v="16061"/>
    <n v="15123.5"/>
    <n v="67698"/>
    <n v="64254"/>
    <n v="147539.5"/>
    <n v="6147.479166666667"/>
    <n v="140788"/>
    <n v="5866.166666666667"/>
    <n v="27759.5625"/>
    <n v="27536.383333333335"/>
  </r>
  <r>
    <x v="14"/>
    <s v="James Madison University  "/>
    <m/>
    <n v="232423"/>
    <x v="2"/>
    <s v="sem"/>
    <s v="sem"/>
    <m/>
    <m/>
    <n v="238297"/>
    <n v="243645"/>
    <n v="25570"/>
    <n v="27247"/>
    <n v="258230"/>
    <n v="262989"/>
    <n v="522097"/>
    <n v="17403.233333333334"/>
    <n v="533881"/>
    <n v="17796.033333333333"/>
    <n v="1774"/>
    <n v="5941"/>
    <n v="522097"/>
    <n v="533881"/>
    <m/>
    <m/>
    <m/>
    <m/>
    <m/>
    <m/>
    <m/>
    <m/>
    <n v="0"/>
    <n v="0"/>
    <n v="0"/>
    <n v="0"/>
    <m/>
    <m/>
    <n v="0"/>
    <n v="0"/>
    <m/>
    <m/>
    <n v="12624"/>
    <n v="12860"/>
    <n v="6280"/>
    <n v="6613"/>
    <n v="14310"/>
    <n v="14452"/>
    <n v="33214"/>
    <n v="1383.9166666666667"/>
    <n v="33925"/>
    <n v="1413.5416666666667"/>
    <n v="18787.150000000001"/>
    <n v="19209.575000000001"/>
  </r>
  <r>
    <x v="14"/>
    <s v="Norfolk State University "/>
    <m/>
    <n v="232937"/>
    <x v="2"/>
    <s v="sem"/>
    <s v="sem"/>
    <m/>
    <m/>
    <n v="70716"/>
    <n v="71365"/>
    <n v="10135"/>
    <n v="11666"/>
    <n v="75745"/>
    <n v="77677"/>
    <n v="156596"/>
    <n v="5219.8666666666668"/>
    <n v="160708"/>
    <n v="5356.9333333333334"/>
    <n v="111"/>
    <n v="183"/>
    <n v="156596"/>
    <n v="160708"/>
    <m/>
    <m/>
    <m/>
    <m/>
    <m/>
    <m/>
    <m/>
    <m/>
    <n v="0"/>
    <n v="0"/>
    <n v="0"/>
    <n v="0"/>
    <m/>
    <m/>
    <n v="0"/>
    <n v="0"/>
    <m/>
    <m/>
    <n v="6402"/>
    <n v="6240"/>
    <n v="1551"/>
    <n v="1279"/>
    <n v="6731"/>
    <n v="6580"/>
    <n v="14684"/>
    <n v="611.83333333333337"/>
    <n v="14099"/>
    <n v="587.45833333333337"/>
    <n v="5831.7"/>
    <n v="5944.3916666666664"/>
  </r>
  <r>
    <x v="14"/>
    <s v="Longwood University "/>
    <s v="Met the criteria for Four-Year 3 in 2011-2012"/>
    <n v="232566"/>
    <x v="3"/>
    <s v="sem"/>
    <s v="sem"/>
    <m/>
    <m/>
    <n v="56397"/>
    <n v="56290"/>
    <n v="7965"/>
    <n v="8967"/>
    <n v="60036"/>
    <n v="61455"/>
    <n v="124398"/>
    <n v="4146.6000000000004"/>
    <n v="126712"/>
    <n v="4223.7333333333336"/>
    <n v="9"/>
    <n v="14"/>
    <n v="124398"/>
    <n v="126712"/>
    <m/>
    <m/>
    <m/>
    <m/>
    <m/>
    <m/>
    <m/>
    <m/>
    <n v="0"/>
    <n v="0"/>
    <n v="0"/>
    <n v="0"/>
    <m/>
    <m/>
    <n v="0"/>
    <n v="0"/>
    <m/>
    <m/>
    <n v="2567"/>
    <n v="2768"/>
    <n v="2734"/>
    <n v="2361"/>
    <n v="3550"/>
    <n v="2642"/>
    <n v="8851"/>
    <n v="368.79166666666669"/>
    <n v="7771"/>
    <n v="323.79166666666669"/>
    <n v="4515.3916666666673"/>
    <n v="4547.5250000000005"/>
  </r>
  <r>
    <x v="14"/>
    <s v="Radford University"/>
    <s v="Met the criteria for Four-Year 3 in 2011-2012"/>
    <n v="233277"/>
    <x v="3"/>
    <s v="sem"/>
    <s v="sem"/>
    <m/>
    <m/>
    <n v="106960"/>
    <n v="109223"/>
    <n v="10904"/>
    <n v="11751"/>
    <n v="117746"/>
    <n v="123596"/>
    <n v="235610"/>
    <n v="7853.666666666667"/>
    <n v="244570"/>
    <n v="8152.333333333333"/>
    <n v="0"/>
    <n v="242"/>
    <n v="235610"/>
    <n v="244570"/>
    <m/>
    <m/>
    <m/>
    <m/>
    <m/>
    <m/>
    <m/>
    <m/>
    <n v="0"/>
    <n v="0"/>
    <n v="0"/>
    <n v="0"/>
    <m/>
    <m/>
    <n v="0"/>
    <n v="0"/>
    <m/>
    <m/>
    <n v="7938"/>
    <n v="8388"/>
    <n v="3948"/>
    <n v="4295"/>
    <n v="8375"/>
    <n v="7815"/>
    <n v="20261"/>
    <n v="844.20833333333337"/>
    <n v="20498"/>
    <n v="854.08333333333337"/>
    <n v="8697.875"/>
    <n v="9006.4166666666661"/>
  </r>
  <r>
    <x v="14"/>
    <s v="Virginia State University "/>
    <s v="Met the criteria for Four-Year 3 in 2011-2012"/>
    <n v="234155"/>
    <x v="3"/>
    <s v="sem"/>
    <s v="sem"/>
    <m/>
    <m/>
    <n v="68910"/>
    <n v="73263"/>
    <n v="5885"/>
    <n v="5926"/>
    <n v="77714"/>
    <n v="78398"/>
    <n v="152509"/>
    <n v="5083.6333333333332"/>
    <n v="157587"/>
    <n v="5252.9"/>
    <n v="0"/>
    <n v="0"/>
    <n v="152509"/>
    <n v="157587"/>
    <m/>
    <m/>
    <m/>
    <m/>
    <m/>
    <m/>
    <m/>
    <m/>
    <n v="0"/>
    <n v="0"/>
    <n v="0"/>
    <n v="0"/>
    <m/>
    <m/>
    <n v="0"/>
    <n v="0"/>
    <m/>
    <m/>
    <n v="3920"/>
    <n v="4212"/>
    <n v="1239"/>
    <n v="1239"/>
    <n v="4246"/>
    <n v="4412"/>
    <n v="9405"/>
    <n v="391.875"/>
    <n v="9863"/>
    <n v="410.95833333333331"/>
    <n v="5475.5083333333332"/>
    <n v="5663.8583333333327"/>
  </r>
  <r>
    <x v="14"/>
    <s v="Christopher Newport University"/>
    <s v="Met the criteria for Four-Year 4 in 2011-2012"/>
    <n v="231712"/>
    <x v="4"/>
    <s v="sem"/>
    <s v="sem"/>
    <m/>
    <m/>
    <n v="65400"/>
    <n v="67569"/>
    <n v="2895"/>
    <n v="2040"/>
    <n v="69799"/>
    <n v="71060"/>
    <n v="138094"/>
    <n v="4603.1333333333332"/>
    <n v="140669"/>
    <n v="4688.9666666666662"/>
    <n v="3"/>
    <n v="12"/>
    <n v="138094"/>
    <n v="140669"/>
    <m/>
    <m/>
    <m/>
    <m/>
    <m/>
    <m/>
    <m/>
    <m/>
    <n v="0"/>
    <n v="0"/>
    <n v="0"/>
    <n v="0"/>
    <m/>
    <m/>
    <n v="0"/>
    <n v="0"/>
    <m/>
    <m/>
    <n v="1680"/>
    <n v="1391"/>
    <n v="1150"/>
    <n v="871"/>
    <n v="1161"/>
    <n v="1545"/>
    <n v="3991"/>
    <n v="166.29166666666666"/>
    <n v="3807"/>
    <n v="158.625"/>
    <n v="4769.4250000000002"/>
    <n v="4847.5916666666662"/>
  </r>
  <r>
    <x v="14"/>
    <s v="University of Mary Washington "/>
    <s v="Met the criteria for Four-Year 3 in 2011-2012"/>
    <n v="232681"/>
    <x v="4"/>
    <s v="sem"/>
    <s v="sem"/>
    <m/>
    <m/>
    <n v="58105"/>
    <n v="58309"/>
    <n v="7189"/>
    <n v="7097"/>
    <n v="61011"/>
    <n v="61385"/>
    <n v="126305"/>
    <n v="4210.166666666667"/>
    <n v="126791"/>
    <n v="4226.3666666666668"/>
    <n v="32"/>
    <n v="18"/>
    <n v="126305"/>
    <n v="126791"/>
    <m/>
    <m/>
    <m/>
    <m/>
    <m/>
    <m/>
    <m/>
    <m/>
    <n v="0"/>
    <n v="0"/>
    <n v="0"/>
    <n v="0"/>
    <m/>
    <m/>
    <n v="0"/>
    <n v="0"/>
    <m/>
    <m/>
    <n v="4566"/>
    <n v="4025"/>
    <n v="2141"/>
    <n v="1848"/>
    <n v="5001"/>
    <n v="3834"/>
    <n v="11708"/>
    <n v="487.83333333333331"/>
    <n v="9707"/>
    <n v="404.45833333333331"/>
    <n v="4698"/>
    <n v="4630.8249999999998"/>
  </r>
  <r>
    <x v="14"/>
    <s v="University of Virginia's College at Wise "/>
    <m/>
    <n v="233897"/>
    <x v="5"/>
    <s v="sem"/>
    <s v="sem"/>
    <m/>
    <m/>
    <n v="21491.5"/>
    <n v="23807"/>
    <n v="3114.5"/>
    <n v="2810"/>
    <n v="26093.3"/>
    <n v="25093"/>
    <n v="50699.3"/>
    <n v="1689.9766666666667"/>
    <n v="51710"/>
    <n v="1723.6666666666667"/>
    <n v="142"/>
    <n v="81"/>
    <n v="50699.3"/>
    <n v="51710"/>
    <m/>
    <m/>
    <m/>
    <m/>
    <m/>
    <m/>
    <m/>
    <m/>
    <n v="0"/>
    <n v="0"/>
    <n v="0"/>
    <n v="0"/>
    <m/>
    <m/>
    <n v="0"/>
    <n v="0"/>
    <m/>
    <m/>
    <n v="0"/>
    <n v="0"/>
    <n v="0"/>
    <n v="0"/>
    <n v="0"/>
    <n v="0"/>
    <n v="0"/>
    <n v="0"/>
    <n v="0"/>
    <n v="0"/>
    <n v="1689.9766666666667"/>
    <n v="1723.6666666666667"/>
  </r>
  <r>
    <x v="14"/>
    <s v="J.S. Reynolds Community College"/>
    <m/>
    <n v="232414"/>
    <x v="6"/>
    <s v="sem"/>
    <s v="sem"/>
    <m/>
    <m/>
    <n v="103618"/>
    <n v="105802"/>
    <n v="34677"/>
    <n v="39720"/>
    <n v="105935"/>
    <n v="113193"/>
    <n v="244230"/>
    <n v="8141"/>
    <n v="258715"/>
    <n v="8623.8333333333339"/>
    <n v="15164"/>
    <n v="14126"/>
    <n v="244230"/>
    <n v="258715"/>
    <m/>
    <m/>
    <m/>
    <m/>
    <m/>
    <m/>
    <m/>
    <m/>
    <n v="0"/>
    <n v="0"/>
    <n v="0"/>
    <n v="0"/>
    <m/>
    <m/>
    <n v="0"/>
    <n v="0"/>
    <m/>
    <m/>
    <n v="0"/>
    <n v="0"/>
    <n v="0"/>
    <n v="0"/>
    <n v="0"/>
    <n v="0"/>
    <n v="0"/>
    <n v="0"/>
    <n v="0"/>
    <n v="0"/>
    <n v="8141"/>
    <n v="8623.8333333333339"/>
  </r>
  <r>
    <x v="14"/>
    <s v="Northern Virginia Community College "/>
    <m/>
    <n v="232946"/>
    <x v="6"/>
    <s v="sem"/>
    <s v="sem"/>
    <m/>
    <m/>
    <n v="407537"/>
    <n v="428468"/>
    <n v="152887"/>
    <n v="171453"/>
    <n v="440977"/>
    <n v="451626"/>
    <n v="1001401"/>
    <n v="33380.033333333333"/>
    <n v="1051547"/>
    <n v="35051.566666666666"/>
    <n v="18213"/>
    <n v="30567"/>
    <n v="1001401"/>
    <n v="1051547"/>
    <m/>
    <m/>
    <m/>
    <m/>
    <m/>
    <m/>
    <m/>
    <m/>
    <n v="0"/>
    <n v="0"/>
    <n v="0"/>
    <n v="0"/>
    <m/>
    <m/>
    <n v="0"/>
    <n v="0"/>
    <m/>
    <m/>
    <n v="0"/>
    <n v="0"/>
    <n v="0"/>
    <n v="0"/>
    <n v="0"/>
    <n v="0"/>
    <n v="0"/>
    <n v="0"/>
    <n v="0"/>
    <n v="0"/>
    <n v="33380.033333333333"/>
    <n v="35051.566666666666"/>
  </r>
  <r>
    <x v="14"/>
    <s v="Thomas Nelson Community College "/>
    <m/>
    <n v="233754"/>
    <x v="6"/>
    <s v="sem"/>
    <s v="sem"/>
    <m/>
    <m/>
    <n v="84453"/>
    <n v="92841"/>
    <n v="23468"/>
    <n v="25516"/>
    <n v="97009"/>
    <n v="96969"/>
    <n v="204930"/>
    <n v="6831"/>
    <n v="215326"/>
    <n v="7177.5333333333338"/>
    <n v="14118"/>
    <n v="16781"/>
    <n v="204930"/>
    <n v="215326"/>
    <m/>
    <m/>
    <m/>
    <m/>
    <m/>
    <m/>
    <m/>
    <m/>
    <n v="0"/>
    <n v="0"/>
    <n v="0"/>
    <n v="0"/>
    <m/>
    <m/>
    <n v="0"/>
    <n v="0"/>
    <m/>
    <m/>
    <n v="0"/>
    <n v="0"/>
    <n v="0"/>
    <n v="0"/>
    <n v="0"/>
    <n v="0"/>
    <n v="0"/>
    <n v="0"/>
    <n v="0"/>
    <n v="0"/>
    <n v="6831"/>
    <n v="7177.5333333333338"/>
  </r>
  <r>
    <x v="14"/>
    <s v="Tidewater Community College "/>
    <m/>
    <n v="233772"/>
    <x v="6"/>
    <s v="sem"/>
    <s v="sem"/>
    <m/>
    <m/>
    <n v="283274"/>
    <n v="289680"/>
    <n v="84265"/>
    <n v="101078"/>
    <n v="290297"/>
    <n v="300192"/>
    <n v="657836"/>
    <n v="21927.866666666665"/>
    <n v="690950"/>
    <n v="23031.666666666668"/>
    <n v="17759"/>
    <n v="20115"/>
    <n v="657836"/>
    <n v="690950"/>
    <m/>
    <m/>
    <m/>
    <m/>
    <m/>
    <m/>
    <m/>
    <m/>
    <n v="0"/>
    <n v="0"/>
    <n v="0"/>
    <n v="0"/>
    <m/>
    <m/>
    <n v="0"/>
    <n v="0"/>
    <m/>
    <m/>
    <n v="0"/>
    <n v="0"/>
    <n v="0"/>
    <n v="0"/>
    <n v="0"/>
    <n v="0"/>
    <n v="0"/>
    <n v="0"/>
    <n v="0"/>
    <n v="0"/>
    <n v="21927.866666666665"/>
    <n v="23031.666666666668"/>
  </r>
  <r>
    <x v="14"/>
    <s v="Blue Ridge Community College "/>
    <m/>
    <n v="231536"/>
    <x v="7"/>
    <s v="sem"/>
    <s v="sem"/>
    <m/>
    <m/>
    <n v="40927"/>
    <n v="40796"/>
    <n v="9331"/>
    <n v="10988"/>
    <n v="45041"/>
    <n v="42740"/>
    <n v="95299"/>
    <n v="3176.6333333333332"/>
    <n v="94524"/>
    <n v="3150.8"/>
    <n v="8799"/>
    <n v="10679"/>
    <n v="95299"/>
    <n v="94524"/>
    <m/>
    <m/>
    <m/>
    <m/>
    <m/>
    <m/>
    <m/>
    <m/>
    <n v="0"/>
    <n v="0"/>
    <n v="0"/>
    <n v="0"/>
    <m/>
    <m/>
    <n v="0"/>
    <n v="0"/>
    <m/>
    <m/>
    <n v="0"/>
    <n v="0"/>
    <n v="0"/>
    <n v="0"/>
    <n v="0"/>
    <n v="0"/>
    <n v="0"/>
    <n v="0"/>
    <n v="0"/>
    <n v="0"/>
    <n v="3176.6333333333332"/>
    <n v="3150.8"/>
  </r>
  <r>
    <x v="14"/>
    <s v="Central Virginia Community College "/>
    <m/>
    <n v="231697"/>
    <x v="7"/>
    <s v="sem"/>
    <s v="sem"/>
    <m/>
    <m/>
    <n v="36131"/>
    <n v="36115"/>
    <n v="10151"/>
    <n v="10448"/>
    <n v="42031"/>
    <n v="41438"/>
    <n v="88313"/>
    <n v="2943.7666666666669"/>
    <n v="88001"/>
    <n v="2933.3666666666668"/>
    <n v="19301"/>
    <n v="26983"/>
    <n v="88313"/>
    <n v="88001"/>
    <m/>
    <m/>
    <m/>
    <m/>
    <m/>
    <m/>
    <m/>
    <m/>
    <n v="0"/>
    <n v="0"/>
    <n v="0"/>
    <n v="0"/>
    <m/>
    <m/>
    <n v="0"/>
    <n v="0"/>
    <m/>
    <m/>
    <n v="0"/>
    <n v="0"/>
    <n v="0"/>
    <n v="0"/>
    <n v="0"/>
    <n v="0"/>
    <n v="0"/>
    <n v="0"/>
    <n v="0"/>
    <n v="0"/>
    <n v="2943.7666666666669"/>
    <n v="2933.3666666666668"/>
  </r>
  <r>
    <x v="14"/>
    <s v="Danville Community College "/>
    <m/>
    <n v="231882"/>
    <x v="7"/>
    <s v="sem"/>
    <s v="sem"/>
    <m/>
    <m/>
    <n v="38408"/>
    <n v="37477"/>
    <n v="11946"/>
    <n v="11377"/>
    <n v="38458"/>
    <n v="36528"/>
    <n v="88812"/>
    <n v="2960.4"/>
    <n v="85382"/>
    <n v="2846.0666666666666"/>
    <n v="18476"/>
    <n v="23368"/>
    <n v="88812"/>
    <n v="85382"/>
    <m/>
    <m/>
    <m/>
    <m/>
    <m/>
    <m/>
    <m/>
    <m/>
    <n v="0"/>
    <n v="0"/>
    <n v="0"/>
    <n v="0"/>
    <m/>
    <m/>
    <n v="0"/>
    <n v="0"/>
    <m/>
    <m/>
    <n v="0"/>
    <n v="0"/>
    <n v="0"/>
    <n v="0"/>
    <n v="0"/>
    <n v="0"/>
    <n v="0"/>
    <n v="0"/>
    <n v="0"/>
    <n v="0"/>
    <n v="2960.4"/>
    <n v="2846.0666666666666"/>
  </r>
  <r>
    <x v="14"/>
    <s v="Germanna Community College"/>
    <m/>
    <n v="232195"/>
    <x v="7"/>
    <s v="sem"/>
    <s v="sem"/>
    <m/>
    <m/>
    <n v="54691"/>
    <n v="58341"/>
    <n v="13904"/>
    <n v="15767"/>
    <n v="63362"/>
    <n v="65793"/>
    <n v="131957"/>
    <n v="4398.5666666666666"/>
    <n v="139901"/>
    <n v="4663.3666666666668"/>
    <n v="15081"/>
    <n v="19212"/>
    <n v="131957"/>
    <n v="139901"/>
    <m/>
    <m/>
    <m/>
    <m/>
    <m/>
    <m/>
    <m/>
    <m/>
    <n v="0"/>
    <n v="0"/>
    <n v="0"/>
    <n v="0"/>
    <m/>
    <m/>
    <n v="0"/>
    <n v="0"/>
    <m/>
    <m/>
    <n v="0"/>
    <n v="0"/>
    <n v="0"/>
    <n v="0"/>
    <n v="0"/>
    <n v="0"/>
    <n v="0"/>
    <n v="0"/>
    <n v="0"/>
    <n v="0"/>
    <n v="4398.5666666666666"/>
    <n v="4663.3666666666668"/>
  </r>
  <r>
    <x v="14"/>
    <s v="John Tyler Community College"/>
    <s v="Met the criteria for Two-Year 1 in 2011-12."/>
    <n v="232450"/>
    <x v="7"/>
    <s v="sem"/>
    <s v="sem"/>
    <m/>
    <m/>
    <n v="76586"/>
    <n v="79717"/>
    <n v="19164"/>
    <n v="23115"/>
    <n v="85824"/>
    <n v="87506"/>
    <n v="181574"/>
    <n v="6052.4666666666662"/>
    <n v="190338"/>
    <n v="6344.6"/>
    <n v="31806"/>
    <n v="43654"/>
    <n v="181574"/>
    <n v="190338"/>
    <m/>
    <m/>
    <m/>
    <m/>
    <m/>
    <m/>
    <m/>
    <m/>
    <n v="0"/>
    <n v="0"/>
    <n v="0"/>
    <n v="0"/>
    <m/>
    <m/>
    <n v="0"/>
    <n v="0"/>
    <m/>
    <m/>
    <n v="0"/>
    <n v="0"/>
    <n v="0"/>
    <n v="0"/>
    <n v="0"/>
    <n v="0"/>
    <n v="0"/>
    <n v="0"/>
    <n v="0"/>
    <n v="0"/>
    <n v="6052.4666666666662"/>
    <n v="6344.6"/>
  </r>
  <r>
    <x v="14"/>
    <s v="Lord Fairfax Community College  "/>
    <m/>
    <n v="232575"/>
    <x v="7"/>
    <s v="sem"/>
    <s v="sem"/>
    <m/>
    <m/>
    <n v="48497"/>
    <n v="50883"/>
    <n v="12054"/>
    <n v="13294"/>
    <n v="57193"/>
    <n v="59746"/>
    <n v="117744"/>
    <n v="3924.8"/>
    <n v="123923"/>
    <n v="4130.7666666666664"/>
    <n v="28078"/>
    <n v="39380"/>
    <n v="117744"/>
    <n v="123923"/>
    <m/>
    <m/>
    <m/>
    <m/>
    <m/>
    <m/>
    <m/>
    <m/>
    <n v="0"/>
    <n v="0"/>
    <n v="0"/>
    <n v="0"/>
    <m/>
    <m/>
    <n v="0"/>
    <n v="0"/>
    <m/>
    <m/>
    <n v="0"/>
    <n v="0"/>
    <n v="0"/>
    <n v="0"/>
    <n v="0"/>
    <n v="0"/>
    <n v="0"/>
    <n v="0"/>
    <n v="0"/>
    <n v="0"/>
    <n v="3924.8"/>
    <n v="4130.7666666666664"/>
  </r>
  <r>
    <x v="14"/>
    <s v="New River Community College "/>
    <m/>
    <n v="232867"/>
    <x v="7"/>
    <s v="sem"/>
    <s v="sem"/>
    <m/>
    <m/>
    <n v="46352"/>
    <n v="43252"/>
    <n v="10131"/>
    <n v="11555"/>
    <n v="44692"/>
    <n v="45359"/>
    <n v="101175"/>
    <n v="3372.5"/>
    <n v="100166"/>
    <n v="3338.8666666666668"/>
    <n v="20048"/>
    <n v="26689"/>
    <n v="101175"/>
    <n v="100166"/>
    <m/>
    <m/>
    <m/>
    <m/>
    <m/>
    <m/>
    <m/>
    <m/>
    <n v="0"/>
    <n v="0"/>
    <n v="0"/>
    <n v="0"/>
    <m/>
    <m/>
    <n v="0"/>
    <n v="0"/>
    <m/>
    <m/>
    <n v="0"/>
    <n v="0"/>
    <n v="0"/>
    <n v="0"/>
    <n v="0"/>
    <n v="0"/>
    <n v="0"/>
    <n v="0"/>
    <n v="0"/>
    <n v="0"/>
    <n v="3372.5"/>
    <n v="3338.8666666666668"/>
  </r>
  <r>
    <x v="14"/>
    <s v="Patrick Henry Community College "/>
    <s v="Reclassified: Met the criteria for Two-Year 2 in 2009-10, 2010-11, and 2011-12."/>
    <n v="233019"/>
    <x v="7"/>
    <s v="sem"/>
    <s v="sem"/>
    <m/>
    <m/>
    <n v="33689"/>
    <n v="31372"/>
    <n v="9613"/>
    <n v="10053"/>
    <n v="32945"/>
    <n v="33634"/>
    <n v="76247"/>
    <n v="2541.5666666666666"/>
    <n v="75059"/>
    <n v="2501.9666666666667"/>
    <n v="18414"/>
    <n v="20496"/>
    <n v="76247"/>
    <n v="75059"/>
    <m/>
    <m/>
    <m/>
    <m/>
    <m/>
    <m/>
    <m/>
    <m/>
    <n v="0"/>
    <n v="0"/>
    <n v="0"/>
    <n v="0"/>
    <m/>
    <m/>
    <n v="0"/>
    <n v="0"/>
    <m/>
    <m/>
    <n v="0"/>
    <n v="0"/>
    <n v="0"/>
    <n v="0"/>
    <n v="0"/>
    <n v="0"/>
    <n v="0"/>
    <n v="0"/>
    <n v="0"/>
    <n v="0"/>
    <n v="2541.5666666666666"/>
    <n v="2501.9666666666667"/>
  </r>
  <r>
    <x v="14"/>
    <s v="Piedmont Virginia Community College "/>
    <m/>
    <n v="233116"/>
    <x v="7"/>
    <s v="sem"/>
    <s v="sem"/>
    <m/>
    <m/>
    <n v="37623"/>
    <n v="40280"/>
    <n v="8842"/>
    <n v="9578"/>
    <n v="41898"/>
    <n v="41772"/>
    <n v="88363"/>
    <n v="2945.4333333333334"/>
    <n v="91630"/>
    <n v="3054.3333333333335"/>
    <n v="18025"/>
    <n v="23669"/>
    <n v="88363"/>
    <n v="91630"/>
    <m/>
    <m/>
    <m/>
    <m/>
    <m/>
    <m/>
    <m/>
    <m/>
    <n v="0"/>
    <n v="0"/>
    <n v="0"/>
    <n v="0"/>
    <m/>
    <m/>
    <n v="0"/>
    <n v="0"/>
    <m/>
    <m/>
    <n v="0"/>
    <n v="0"/>
    <n v="0"/>
    <n v="0"/>
    <n v="0"/>
    <n v="0"/>
    <n v="0"/>
    <n v="0"/>
    <n v="0"/>
    <n v="0"/>
    <n v="2945.4333333333334"/>
    <n v="3054.3333333333335"/>
  </r>
  <r>
    <x v="14"/>
    <s v="Southside Virginia Community College  "/>
    <m/>
    <n v="233639"/>
    <x v="7"/>
    <s v="sem"/>
    <s v="sem"/>
    <m/>
    <m/>
    <n v="49019"/>
    <n v="49468"/>
    <n v="14093"/>
    <n v="15851"/>
    <n v="52501"/>
    <n v="54965"/>
    <n v="115613"/>
    <n v="3853.7666666666669"/>
    <n v="120284"/>
    <n v="4009.4666666666667"/>
    <n v="41208"/>
    <n v="56952"/>
    <n v="115613"/>
    <n v="120284"/>
    <m/>
    <m/>
    <m/>
    <m/>
    <m/>
    <m/>
    <m/>
    <m/>
    <n v="0"/>
    <n v="0"/>
    <n v="0"/>
    <n v="0"/>
    <m/>
    <m/>
    <n v="0"/>
    <n v="0"/>
    <m/>
    <m/>
    <n v="0"/>
    <n v="0"/>
    <n v="0"/>
    <n v="0"/>
    <n v="0"/>
    <n v="0"/>
    <n v="0"/>
    <n v="0"/>
    <n v="0"/>
    <n v="0"/>
    <n v="3853.7666666666669"/>
    <n v="4009.4666666666667"/>
  </r>
  <r>
    <x v="14"/>
    <s v="Southwest Virginia Community College "/>
    <m/>
    <n v="233648"/>
    <x v="7"/>
    <s v="sem"/>
    <s v="sem"/>
    <m/>
    <m/>
    <n v="30522"/>
    <n v="28095"/>
    <n v="12046"/>
    <n v="9907"/>
    <n v="32577"/>
    <n v="28828"/>
    <n v="75145"/>
    <n v="2504.8333333333335"/>
    <n v="66830"/>
    <n v="2227.6666666666665"/>
    <n v="14191"/>
    <n v="20545"/>
    <n v="75145"/>
    <n v="66830"/>
    <m/>
    <m/>
    <m/>
    <m/>
    <m/>
    <m/>
    <m/>
    <m/>
    <n v="0"/>
    <n v="0"/>
    <n v="0"/>
    <n v="0"/>
    <m/>
    <m/>
    <n v="0"/>
    <n v="0"/>
    <m/>
    <m/>
    <n v="0"/>
    <n v="0"/>
    <n v="0"/>
    <n v="0"/>
    <n v="0"/>
    <n v="0"/>
    <n v="0"/>
    <n v="0"/>
    <n v="0"/>
    <n v="0"/>
    <n v="2504.8333333333335"/>
    <n v="2227.6666666666665"/>
  </r>
  <r>
    <x v="14"/>
    <s v="Virginia Western Community College "/>
    <m/>
    <n v="233949"/>
    <x v="7"/>
    <s v="sem"/>
    <s v="sem"/>
    <m/>
    <m/>
    <n v="63846"/>
    <n v="64855"/>
    <n v="15843"/>
    <n v="16210"/>
    <n v="68163"/>
    <n v="66680"/>
    <n v="147852"/>
    <n v="4928.3999999999996"/>
    <n v="147745"/>
    <n v="4924.833333333333"/>
    <n v="28671"/>
    <n v="36689"/>
    <n v="147852"/>
    <n v="147745"/>
    <m/>
    <m/>
    <m/>
    <m/>
    <m/>
    <m/>
    <m/>
    <m/>
    <n v="0"/>
    <n v="0"/>
    <n v="0"/>
    <n v="0"/>
    <m/>
    <m/>
    <n v="0"/>
    <n v="0"/>
    <m/>
    <m/>
    <n v="0"/>
    <n v="0"/>
    <n v="0"/>
    <n v="0"/>
    <n v="0"/>
    <n v="0"/>
    <n v="0"/>
    <n v="0"/>
    <n v="0"/>
    <n v="0"/>
    <n v="4928.3999999999996"/>
    <n v="4924.833333333333"/>
  </r>
  <r>
    <x v="14"/>
    <s v="Wytheville Community College "/>
    <s v="Reclassified: Met the criteria for Two-Year 2 in 2009-10, 2010-11, and 2011-12."/>
    <n v="234377"/>
    <x v="7"/>
    <s v="sem"/>
    <s v="sem"/>
    <m/>
    <m/>
    <n v="30836"/>
    <n v="30591"/>
    <n v="10206"/>
    <n v="11004"/>
    <n v="33082"/>
    <n v="31021"/>
    <n v="74124"/>
    <n v="2470.8000000000002"/>
    <n v="72616"/>
    <n v="2420.5333333333333"/>
    <n v="17093"/>
    <n v="22857"/>
    <n v="74124"/>
    <n v="72616"/>
    <m/>
    <m/>
    <m/>
    <m/>
    <m/>
    <m/>
    <m/>
    <m/>
    <n v="0"/>
    <n v="0"/>
    <n v="0"/>
    <n v="0"/>
    <m/>
    <m/>
    <n v="0"/>
    <n v="0"/>
    <m/>
    <m/>
    <n v="0"/>
    <n v="0"/>
    <n v="0"/>
    <n v="0"/>
    <n v="0"/>
    <n v="0"/>
    <n v="0"/>
    <n v="0"/>
    <n v="0"/>
    <n v="0"/>
    <n v="2470.8000000000002"/>
    <n v="2420.5333333333333"/>
  </r>
  <r>
    <x v="14"/>
    <s v="D.S. Lancaster Community College "/>
    <m/>
    <n v="231873"/>
    <x v="8"/>
    <s v="sem"/>
    <s v="sem"/>
    <m/>
    <m/>
    <n v="10836"/>
    <n v="11099"/>
    <n v="2514"/>
    <n v="2749"/>
    <n v="12739"/>
    <n v="12784"/>
    <n v="26089"/>
    <n v="869.63333333333333"/>
    <n v="26632"/>
    <n v="887.73333333333335"/>
    <n v="6884"/>
    <n v="8949"/>
    <n v="26089"/>
    <n v="26632"/>
    <m/>
    <m/>
    <m/>
    <m/>
    <m/>
    <m/>
    <m/>
    <m/>
    <n v="0"/>
    <n v="0"/>
    <n v="0"/>
    <n v="0"/>
    <m/>
    <m/>
    <n v="0"/>
    <n v="0"/>
    <m/>
    <m/>
    <n v="0"/>
    <n v="0"/>
    <n v="0"/>
    <n v="0"/>
    <n v="0"/>
    <n v="0"/>
    <n v="0"/>
    <n v="0"/>
    <n v="0"/>
    <n v="0"/>
    <n v="869.63333333333333"/>
    <n v="887.73333333333335"/>
  </r>
  <r>
    <x v="14"/>
    <s v="Eastern Shore Community College  "/>
    <m/>
    <n v="232052"/>
    <x v="8"/>
    <s v="sem"/>
    <s v="sem"/>
    <m/>
    <m/>
    <n v="9319"/>
    <n v="9373"/>
    <n v="1774"/>
    <n v="1746"/>
    <n v="9511"/>
    <n v="9093"/>
    <n v="20604"/>
    <n v="686.8"/>
    <n v="20212"/>
    <n v="673.73333333333335"/>
    <n v="4020"/>
    <n v="5181"/>
    <n v="20604"/>
    <n v="20212"/>
    <m/>
    <m/>
    <m/>
    <m/>
    <m/>
    <m/>
    <m/>
    <m/>
    <n v="0"/>
    <n v="0"/>
    <n v="0"/>
    <n v="0"/>
    <m/>
    <m/>
    <n v="0"/>
    <n v="0"/>
    <m/>
    <m/>
    <n v="0"/>
    <n v="0"/>
    <n v="0"/>
    <n v="0"/>
    <n v="0"/>
    <n v="0"/>
    <n v="0"/>
    <n v="0"/>
    <n v="0"/>
    <n v="0"/>
    <n v="686.8"/>
    <n v="673.73333333333335"/>
  </r>
  <r>
    <x v="14"/>
    <s v="Mountain Empire Community College"/>
    <s v="Met the criteria for Two-Year 2 in 2010-11 and 2011-12."/>
    <n v="232788"/>
    <x v="8"/>
    <s v="sem"/>
    <s v="sem"/>
    <m/>
    <m/>
    <n v="26113"/>
    <n v="27184"/>
    <n v="7553"/>
    <n v="8105"/>
    <n v="32281"/>
    <n v="29806"/>
    <n v="65947"/>
    <n v="2198.2333333333331"/>
    <n v="65095"/>
    <n v="2169.8333333333335"/>
    <n v="15902"/>
    <n v="20685"/>
    <n v="65947"/>
    <n v="65095"/>
    <m/>
    <m/>
    <m/>
    <m/>
    <m/>
    <m/>
    <m/>
    <m/>
    <n v="0"/>
    <n v="0"/>
    <n v="0"/>
    <n v="0"/>
    <m/>
    <m/>
    <n v="0"/>
    <n v="0"/>
    <m/>
    <m/>
    <n v="0"/>
    <n v="0"/>
    <n v="0"/>
    <n v="0"/>
    <n v="0"/>
    <n v="0"/>
    <n v="0"/>
    <n v="0"/>
    <n v="0"/>
    <n v="0"/>
    <n v="2198.2333333333331"/>
    <n v="2169.8333333333335"/>
  </r>
  <r>
    <x v="14"/>
    <s v="Paul D. Camp Community College  "/>
    <m/>
    <n v="233037"/>
    <x v="8"/>
    <s v="sem"/>
    <s v="sem"/>
    <m/>
    <m/>
    <n v="13540"/>
    <n v="13573"/>
    <n v="3562"/>
    <n v="5713"/>
    <n v="13649"/>
    <n v="13923"/>
    <n v="30751"/>
    <n v="1025.0333333333333"/>
    <n v="33209"/>
    <n v="1106.9666666666667"/>
    <n v="6153"/>
    <n v="8874"/>
    <n v="30751"/>
    <n v="33209"/>
    <m/>
    <m/>
    <m/>
    <m/>
    <m/>
    <m/>
    <m/>
    <m/>
    <n v="0"/>
    <n v="0"/>
    <n v="0"/>
    <n v="0"/>
    <m/>
    <m/>
    <n v="0"/>
    <n v="0"/>
    <m/>
    <m/>
    <n v="0"/>
    <n v="0"/>
    <n v="0"/>
    <n v="0"/>
    <n v="0"/>
    <n v="0"/>
    <n v="0"/>
    <n v="0"/>
    <n v="0"/>
    <n v="0"/>
    <n v="1025.0333333333333"/>
    <n v="1106.9666666666667"/>
  </r>
  <r>
    <x v="14"/>
    <s v="Rappahannock Community College  "/>
    <s v="Met the criteria for Two-Year 2 in 2011-12."/>
    <n v="233310"/>
    <x v="8"/>
    <s v="sem"/>
    <s v="sem"/>
    <m/>
    <m/>
    <n v="24645"/>
    <n v="26314"/>
    <n v="4982"/>
    <n v="6466"/>
    <n v="28641"/>
    <n v="28026"/>
    <n v="58268"/>
    <n v="1942.2666666666667"/>
    <n v="60806"/>
    <n v="2026.8666666666666"/>
    <n v="27222"/>
    <n v="39065"/>
    <n v="58268"/>
    <n v="60806"/>
    <m/>
    <m/>
    <m/>
    <m/>
    <m/>
    <m/>
    <m/>
    <m/>
    <n v="0"/>
    <n v="0"/>
    <n v="0"/>
    <n v="0"/>
    <m/>
    <m/>
    <n v="0"/>
    <n v="0"/>
    <m/>
    <m/>
    <n v="0"/>
    <n v="0"/>
    <n v="0"/>
    <n v="0"/>
    <n v="0"/>
    <n v="0"/>
    <n v="0"/>
    <n v="0"/>
    <n v="0"/>
    <n v="0"/>
    <n v="1942.2666666666667"/>
    <n v="2026.8666666666666"/>
  </r>
  <r>
    <x v="14"/>
    <s v="Richard Bland College "/>
    <m/>
    <n v="233338"/>
    <x v="8"/>
    <s v="sem"/>
    <s v="sem"/>
    <m/>
    <m/>
    <n v="15027"/>
    <n v="15096"/>
    <n v="3102"/>
    <n v="2853"/>
    <n v="17080"/>
    <n v="17304"/>
    <n v="35209"/>
    <n v="1173.6333333333334"/>
    <n v="35253"/>
    <n v="1175.0999999999999"/>
    <n v="3248"/>
    <n v="4287"/>
    <n v="35209"/>
    <n v="35253"/>
    <m/>
    <m/>
    <m/>
    <m/>
    <m/>
    <m/>
    <m/>
    <m/>
    <n v="0"/>
    <n v="0"/>
    <n v="0"/>
    <n v="0"/>
    <m/>
    <m/>
    <n v="0"/>
    <n v="0"/>
    <m/>
    <m/>
    <n v="0"/>
    <n v="0"/>
    <n v="0"/>
    <n v="0"/>
    <n v="0"/>
    <n v="0"/>
    <n v="0"/>
    <n v="0"/>
    <n v="0"/>
    <n v="0"/>
    <n v="1173.6333333333334"/>
    <n v="1175.0999999999999"/>
  </r>
  <r>
    <x v="14"/>
    <s v="Virginia Highlands Community College "/>
    <m/>
    <n v="233903"/>
    <x v="8"/>
    <s v="sem"/>
    <s v="sem"/>
    <m/>
    <m/>
    <n v="22541"/>
    <n v="23290"/>
    <n v="5811"/>
    <n v="5333"/>
    <n v="27771"/>
    <n v="26350"/>
    <n v="56123"/>
    <n v="1870.7666666666667"/>
    <n v="54973"/>
    <n v="1832.4333333333334"/>
    <n v="10194"/>
    <n v="15623"/>
    <n v="56123"/>
    <n v="54973"/>
    <m/>
    <m/>
    <m/>
    <m/>
    <m/>
    <m/>
    <m/>
    <m/>
    <n v="0"/>
    <n v="0"/>
    <n v="0"/>
    <n v="0"/>
    <m/>
    <m/>
    <n v="0"/>
    <n v="0"/>
    <m/>
    <m/>
    <n v="0"/>
    <n v="0"/>
    <n v="0"/>
    <n v="0"/>
    <n v="0"/>
    <n v="0"/>
    <n v="0"/>
    <n v="0"/>
    <n v="0"/>
    <n v="0"/>
    <n v="1870.7666666666667"/>
    <n v="1832.4333333333334"/>
  </r>
  <r>
    <x v="14"/>
    <m/>
    <s v="all 8's"/>
    <m/>
    <x v="13"/>
    <m/>
    <m/>
    <m/>
    <m/>
    <n v="878882"/>
    <n v="916791"/>
    <n v="295297"/>
    <n v="337767"/>
    <n v="934218"/>
    <n v="961980"/>
    <n v="2108397"/>
    <n v="70279.899999999994"/>
    <n v="2216538"/>
    <n v="73884.600000000006"/>
    <n v="65254"/>
    <n v="81589"/>
    <n v="2108397"/>
    <n v="2216538"/>
    <m/>
    <m/>
    <m/>
    <m/>
    <m/>
    <m/>
    <m/>
    <m/>
    <n v="0"/>
    <n v="0"/>
    <n v="0"/>
    <n v="0"/>
    <m/>
    <m/>
    <n v="0"/>
    <n v="0"/>
    <m/>
    <m/>
    <m/>
    <m/>
    <m/>
    <m/>
    <m/>
    <m/>
    <n v="0"/>
    <n v="0"/>
    <n v="0"/>
    <n v="0"/>
    <n v="70279.899999999994"/>
    <n v="73884.600000000006"/>
  </r>
  <r>
    <x v="14"/>
    <m/>
    <s v="all 9's"/>
    <m/>
    <x v="14"/>
    <m/>
    <m/>
    <m/>
    <m/>
    <n v="587127"/>
    <n v="591242"/>
    <n v="157324"/>
    <n v="169147"/>
    <n v="637767"/>
    <n v="636010"/>
    <n v="1382218"/>
    <n v="46073.933333333334"/>
    <n v="1396399"/>
    <n v="46546.633333333331"/>
    <n v="279191"/>
    <n v="371173"/>
    <n v="1382218"/>
    <n v="1396399"/>
    <m/>
    <m/>
    <m/>
    <m/>
    <m/>
    <m/>
    <m/>
    <m/>
    <n v="0"/>
    <n v="0"/>
    <n v="0"/>
    <n v="0"/>
    <m/>
    <m/>
    <n v="0"/>
    <n v="0"/>
    <m/>
    <m/>
    <m/>
    <m/>
    <m/>
    <m/>
    <m/>
    <m/>
    <n v="0"/>
    <n v="0"/>
    <n v="0"/>
    <n v="0"/>
    <n v="46073.933333333334"/>
    <n v="46546.633333333331"/>
  </r>
  <r>
    <x v="14"/>
    <m/>
    <s v="All'10's except R.B."/>
    <m/>
    <x v="15"/>
    <m/>
    <m/>
    <m/>
    <m/>
    <n v="106994"/>
    <n v="110833"/>
    <n v="26196"/>
    <n v="30112"/>
    <n v="124592"/>
    <n v="119982"/>
    <n v="257782"/>
    <n v="8592.7333333333336"/>
    <n v="260927"/>
    <n v="8697.5666666666675"/>
    <n v="70375"/>
    <n v="98377"/>
    <n v="257782"/>
    <n v="260927"/>
    <m/>
    <m/>
    <m/>
    <m/>
    <m/>
    <m/>
    <m/>
    <m/>
    <n v="0"/>
    <n v="0"/>
    <n v="0"/>
    <n v="0"/>
    <m/>
    <m/>
    <n v="0"/>
    <n v="0"/>
    <m/>
    <m/>
    <m/>
    <m/>
    <m/>
    <m/>
    <m/>
    <m/>
    <n v="0"/>
    <n v="0"/>
    <n v="0"/>
    <n v="0"/>
    <n v="8592.7333333333336"/>
    <n v="8697.5666666666675"/>
  </r>
  <r>
    <x v="14"/>
    <s v="Richard Bland College B"/>
    <m/>
    <n v="233338"/>
    <x v="15"/>
    <s v="sem"/>
    <s v="sem"/>
    <m/>
    <m/>
    <n v="24645"/>
    <n v="26314"/>
    <n v="4982"/>
    <n v="6466"/>
    <n v="28641"/>
    <n v="28026"/>
    <n v="58268"/>
    <n v="1942.2666666666667"/>
    <n v="60806"/>
    <n v="2026.8666666666666"/>
    <n v="27222"/>
    <n v="39065"/>
    <n v="58268"/>
    <n v="60806"/>
    <m/>
    <m/>
    <m/>
    <m/>
    <m/>
    <m/>
    <m/>
    <m/>
    <n v="0"/>
    <n v="0"/>
    <n v="0"/>
    <n v="0"/>
    <m/>
    <m/>
    <n v="0"/>
    <n v="0"/>
    <m/>
    <m/>
    <m/>
    <n v="0"/>
    <m/>
    <m/>
    <m/>
    <m/>
    <n v="0"/>
    <n v="0"/>
    <n v="0"/>
    <n v="0"/>
    <n v="1942.2666666666667"/>
    <n v="2026.8666666666666"/>
  </r>
  <r>
    <x v="14"/>
    <s v="All Community Colleges except R. Bland"/>
    <m/>
    <s v="All CC - Bland"/>
    <x v="16"/>
    <s v="sem"/>
    <s v="sem"/>
    <m/>
    <m/>
    <n v="1563385"/>
    <n v="1607648"/>
    <n v="476937"/>
    <n v="533413"/>
    <n v="1685016"/>
    <n v="1707250"/>
    <n v="3725338"/>
    <n v="124177.93333333333"/>
    <n v="3848311"/>
    <n v="128277.03333333334"/>
    <n v="390846"/>
    <n v="516361"/>
    <n v="3725338"/>
    <n v="3848311"/>
    <m/>
    <m/>
    <m/>
    <m/>
    <m/>
    <m/>
    <m/>
    <m/>
    <n v="0"/>
    <n v="0"/>
    <n v="0"/>
    <n v="0"/>
    <m/>
    <m/>
    <n v="0"/>
    <n v="0"/>
    <m/>
    <m/>
    <m/>
    <m/>
    <m/>
    <m/>
    <m/>
    <m/>
    <n v="0"/>
    <n v="0"/>
    <n v="0"/>
    <n v="0"/>
    <n v="124177.93333333333"/>
    <n v="128277.03333333334"/>
  </r>
  <r>
    <x v="15"/>
    <s v="West Virginia University"/>
    <m/>
    <n v="238032"/>
    <x v="0"/>
    <s v="sem"/>
    <s v="sem"/>
    <m/>
    <m/>
    <n v="286279"/>
    <n v="292311"/>
    <n v="39450"/>
    <n v="40962"/>
    <n v="317706"/>
    <n v="322365"/>
    <n v="643435"/>
    <n v="21447.833333333332"/>
    <n v="655638"/>
    <n v="21854.6"/>
    <n v="2849"/>
    <n v="3023"/>
    <n v="643435"/>
    <n v="655638"/>
    <m/>
    <m/>
    <m/>
    <m/>
    <m/>
    <m/>
    <m/>
    <m/>
    <n v="0"/>
    <n v="0"/>
    <n v="0"/>
    <n v="0"/>
    <m/>
    <m/>
    <n v="0"/>
    <n v="0"/>
    <m/>
    <m/>
    <n v="49485"/>
    <n v="50008"/>
    <n v="20764"/>
    <n v="19728"/>
    <n v="49027"/>
    <n v="48627"/>
    <n v="119276"/>
    <n v="4969.833333333333"/>
    <n v="118363"/>
    <n v="4931.791666666667"/>
    <n v="26417.666666666664"/>
    <n v="26786.391666666666"/>
  </r>
  <r>
    <x v="15"/>
    <s v="Marshall University "/>
    <m/>
    <n v="237525"/>
    <x v="2"/>
    <s v="sem"/>
    <s v="sem"/>
    <m/>
    <m/>
    <n v="114880"/>
    <n v="119513"/>
    <n v="18137"/>
    <n v="19524"/>
    <n v="131155"/>
    <n v="131409"/>
    <n v="264172"/>
    <n v="8805.7333333333336"/>
    <n v="270446"/>
    <n v="9014.8666666666668"/>
    <n v="4279"/>
    <n v="4055"/>
    <n v="264172"/>
    <n v="270446"/>
    <m/>
    <m/>
    <m/>
    <m/>
    <m/>
    <m/>
    <m/>
    <m/>
    <n v="0"/>
    <n v="0"/>
    <n v="0"/>
    <n v="0"/>
    <m/>
    <m/>
    <n v="0"/>
    <n v="0"/>
    <m/>
    <m/>
    <n v="23148"/>
    <n v="24072"/>
    <n v="12721"/>
    <n v="12682"/>
    <n v="23595"/>
    <n v="21984"/>
    <n v="59464"/>
    <n v="2477.6666666666665"/>
    <n v="58738"/>
    <n v="2447.4166666666665"/>
    <n v="11283.4"/>
    <n v="11462.283333333333"/>
  </r>
  <r>
    <x v="15"/>
    <s v="Fairmont State University"/>
    <m/>
    <n v="237367"/>
    <x v="4"/>
    <s v="sem"/>
    <s v="sem"/>
    <m/>
    <m/>
    <n v="54199"/>
    <n v="54393"/>
    <n v="6405"/>
    <n v="7303"/>
    <n v="59154"/>
    <n v="57398"/>
    <n v="119758"/>
    <n v="3991.9333333333334"/>
    <n v="119094"/>
    <n v="3969.8"/>
    <n v="5"/>
    <n v="55"/>
    <n v="119758"/>
    <n v="119094"/>
    <m/>
    <m/>
    <m/>
    <m/>
    <m/>
    <m/>
    <m/>
    <m/>
    <n v="0"/>
    <n v="0"/>
    <n v="0"/>
    <n v="0"/>
    <m/>
    <m/>
    <n v="0"/>
    <n v="0"/>
    <m/>
    <m/>
    <n v="2164"/>
    <n v="2053"/>
    <n v="1033"/>
    <n v="1063"/>
    <n v="2178"/>
    <n v="2369"/>
    <n v="5375"/>
    <n v="223.95833333333334"/>
    <n v="5485"/>
    <n v="228.54166666666666"/>
    <n v="4215.8916666666664"/>
    <n v="4198.3416666666672"/>
  </r>
  <r>
    <x v="15"/>
    <s v="Shepherd University "/>
    <m/>
    <n v="237792"/>
    <x v="4"/>
    <s v="sem"/>
    <s v="sem"/>
    <m/>
    <m/>
    <n v="50769.5"/>
    <n v="52147"/>
    <n v="4064"/>
    <n v="4462"/>
    <n v="55600"/>
    <n v="56757.5"/>
    <n v="110433.5"/>
    <n v="3681.1166666666668"/>
    <n v="113366.5"/>
    <n v="3778.8833333333332"/>
    <n v="68"/>
    <n v="53"/>
    <n v="110433.5"/>
    <n v="113366.5"/>
    <m/>
    <m/>
    <m/>
    <m/>
    <m/>
    <m/>
    <m/>
    <m/>
    <n v="0"/>
    <n v="0"/>
    <n v="0"/>
    <n v="0"/>
    <m/>
    <m/>
    <n v="0"/>
    <n v="0"/>
    <m/>
    <m/>
    <n v="916"/>
    <n v="893"/>
    <n v="347"/>
    <n v="475"/>
    <n v="950"/>
    <n v="938"/>
    <n v="2213"/>
    <n v="92.208333333333329"/>
    <n v="2306"/>
    <n v="96.083333333333329"/>
    <n v="3773.3250000000003"/>
    <n v="3874.9666666666667"/>
  </r>
  <r>
    <x v="15"/>
    <s v="Bluefield State College "/>
    <m/>
    <n v="237215"/>
    <x v="5"/>
    <s v="sem"/>
    <s v="sem"/>
    <m/>
    <m/>
    <n v="25644"/>
    <n v="24279"/>
    <n v="4037"/>
    <n v="3834"/>
    <n v="26354"/>
    <n v="25568"/>
    <n v="56035"/>
    <n v="1867.8333333333333"/>
    <n v="53681"/>
    <n v="1789.3666666666666"/>
    <n v="396"/>
    <n v="275"/>
    <n v="56035"/>
    <n v="53681"/>
    <m/>
    <m/>
    <m/>
    <m/>
    <m/>
    <m/>
    <m/>
    <m/>
    <n v="0"/>
    <n v="0"/>
    <n v="0"/>
    <n v="0"/>
    <m/>
    <m/>
    <n v="0"/>
    <n v="0"/>
    <m/>
    <m/>
    <m/>
    <m/>
    <m/>
    <m/>
    <m/>
    <m/>
    <n v="0"/>
    <n v="0"/>
    <n v="0"/>
    <n v="0"/>
    <n v="1867.8333333333333"/>
    <n v="1789.3666666666666"/>
  </r>
  <r>
    <x v="15"/>
    <s v="Concord University "/>
    <m/>
    <n v="237330"/>
    <x v="5"/>
    <s v="sem"/>
    <s v="sem"/>
    <m/>
    <m/>
    <n v="36705"/>
    <n v="37071"/>
    <n v="3810"/>
    <n v="4258"/>
    <n v="39652"/>
    <n v="39794"/>
    <n v="80167"/>
    <n v="2672.2333333333331"/>
    <n v="81123"/>
    <n v="2704.1"/>
    <n v="852"/>
    <n v="916"/>
    <n v="80167"/>
    <n v="81123"/>
    <m/>
    <m/>
    <m/>
    <m/>
    <m/>
    <m/>
    <m/>
    <m/>
    <n v="0"/>
    <n v="0"/>
    <n v="0"/>
    <n v="0"/>
    <m/>
    <m/>
    <n v="0"/>
    <n v="0"/>
    <m/>
    <m/>
    <n v="1024"/>
    <n v="1191"/>
    <n v="726"/>
    <n v="1365"/>
    <n v="1169"/>
    <n v="1814"/>
    <n v="2919"/>
    <n v="121.625"/>
    <n v="4370"/>
    <n v="182.08333333333334"/>
    <n v="2793.8583333333331"/>
    <n v="2886.1833333333334"/>
  </r>
  <r>
    <x v="15"/>
    <s v="Glenville State College "/>
    <m/>
    <n v="237385"/>
    <x v="5"/>
    <s v="sem"/>
    <s v="sem"/>
    <m/>
    <m/>
    <n v="19673"/>
    <n v="20427.099999999999"/>
    <n v="2879.4"/>
    <n v="3115"/>
    <n v="22106"/>
    <n v="21475.1"/>
    <n v="44658.400000000001"/>
    <n v="1488.6133333333335"/>
    <n v="45017.2"/>
    <n v="1500.5733333333333"/>
    <n v="1665"/>
    <n v="1366"/>
    <n v="44658.400000000001"/>
    <n v="45017.2"/>
    <m/>
    <m/>
    <m/>
    <m/>
    <m/>
    <m/>
    <m/>
    <m/>
    <n v="0"/>
    <n v="0"/>
    <n v="0"/>
    <n v="0"/>
    <m/>
    <m/>
    <n v="0"/>
    <n v="0"/>
    <m/>
    <m/>
    <m/>
    <m/>
    <m/>
    <m/>
    <m/>
    <m/>
    <n v="0"/>
    <n v="0"/>
    <n v="0"/>
    <n v="0"/>
    <n v="1488.6133333333335"/>
    <n v="1500.5733333333333"/>
  </r>
  <r>
    <x v="15"/>
    <s v="West Liberty University"/>
    <m/>
    <n v="237932"/>
    <x v="5"/>
    <s v="sem"/>
    <s v="sem"/>
    <m/>
    <m/>
    <n v="34436"/>
    <n v="35259"/>
    <n v="2373"/>
    <n v="2100"/>
    <n v="39268"/>
    <n v="39454"/>
    <n v="76077"/>
    <n v="2535.9"/>
    <n v="76813"/>
    <n v="2560.4333333333334"/>
    <n v="1155"/>
    <n v="1049"/>
    <n v="76077"/>
    <n v="76813"/>
    <m/>
    <m/>
    <m/>
    <m/>
    <m/>
    <m/>
    <m/>
    <m/>
    <n v="0"/>
    <n v="0"/>
    <n v="0"/>
    <n v="0"/>
    <m/>
    <m/>
    <n v="0"/>
    <n v="0"/>
    <m/>
    <m/>
    <n v="339"/>
    <n v="379"/>
    <n v="534"/>
    <n v="321"/>
    <n v="316"/>
    <n v="385"/>
    <n v="1189"/>
    <n v="49.541666666666664"/>
    <n v="1085"/>
    <n v="45.208333333333336"/>
    <n v="2585.4416666666666"/>
    <n v="2605.6416666666669"/>
  </r>
  <r>
    <x v="15"/>
    <s v="West Virginia State University "/>
    <m/>
    <n v="237899"/>
    <x v="5"/>
    <s v="sem"/>
    <s v="sem"/>
    <m/>
    <m/>
    <n v="37226"/>
    <n v="33558"/>
    <n v="2921"/>
    <n v="2737"/>
    <n v="36531"/>
    <n v="33566"/>
    <n v="76678"/>
    <n v="2555.9333333333334"/>
    <n v="69861"/>
    <n v="2328.6999999999998"/>
    <n v="2966"/>
    <n v="3077"/>
    <n v="76678"/>
    <n v="69861"/>
    <m/>
    <m/>
    <m/>
    <m/>
    <m/>
    <m/>
    <m/>
    <m/>
    <n v="0"/>
    <n v="0"/>
    <n v="0"/>
    <n v="0"/>
    <m/>
    <m/>
    <n v="0"/>
    <n v="0"/>
    <m/>
    <m/>
    <n v="289"/>
    <n v="390"/>
    <n v="17"/>
    <n v="30"/>
    <n v="470"/>
    <n v="419"/>
    <n v="776"/>
    <n v="32.333333333333336"/>
    <n v="839"/>
    <n v="34.958333333333336"/>
    <n v="2588.2666666666669"/>
    <n v="2363.6583333333333"/>
  </r>
  <r>
    <x v="15"/>
    <s v="West Virginia University Institute of Technology"/>
    <m/>
    <n v="237950"/>
    <x v="5"/>
    <s v="sem"/>
    <s v="sem"/>
    <m/>
    <m/>
    <n v="15345"/>
    <n v="15230"/>
    <n v="908"/>
    <n v="1090"/>
    <n v="16016"/>
    <n v="16657"/>
    <n v="32269"/>
    <n v="1075.6333333333334"/>
    <n v="32977"/>
    <n v="1099.2333333333333"/>
    <n v="925"/>
    <n v="991"/>
    <n v="32269"/>
    <n v="32977"/>
    <m/>
    <m/>
    <m/>
    <m/>
    <m/>
    <m/>
    <m/>
    <m/>
    <n v="0"/>
    <n v="0"/>
    <n v="0"/>
    <n v="0"/>
    <m/>
    <m/>
    <n v="0"/>
    <n v="0"/>
    <m/>
    <m/>
    <m/>
    <m/>
    <m/>
    <m/>
    <m/>
    <m/>
    <n v="0"/>
    <n v="0"/>
    <n v="0"/>
    <n v="0"/>
    <n v="1075.6333333333334"/>
    <n v="1099.2333333333333"/>
  </r>
  <r>
    <x v="15"/>
    <s v="Potomac State College of West Virginia University"/>
    <m/>
    <n v="237701"/>
    <x v="11"/>
    <s v="sem"/>
    <s v="sem"/>
    <m/>
    <m/>
    <n v="19877"/>
    <n v="20574"/>
    <n v="1659"/>
    <n v="1918"/>
    <n v="22967"/>
    <n v="22570"/>
    <n v="44503"/>
    <n v="1483.4333333333334"/>
    <n v="45062"/>
    <n v="1502.0666666666666"/>
    <n v="2487"/>
    <n v="2317"/>
    <n v="44503"/>
    <n v="45062"/>
    <m/>
    <m/>
    <m/>
    <m/>
    <m/>
    <m/>
    <m/>
    <m/>
    <n v="0"/>
    <n v="0"/>
    <n v="0"/>
    <n v="0"/>
    <m/>
    <m/>
    <n v="0"/>
    <n v="0"/>
    <m/>
    <m/>
    <m/>
    <m/>
    <m/>
    <m/>
    <m/>
    <m/>
    <n v="0"/>
    <n v="0"/>
    <n v="0"/>
    <n v="0"/>
    <n v="1483.4333333333334"/>
    <n v="1502.0666666666666"/>
  </r>
  <r>
    <x v="15"/>
    <s v="West Virginia University at Parkersburg"/>
    <m/>
    <n v="237686"/>
    <x v="11"/>
    <s v="sem"/>
    <s v="sem"/>
    <m/>
    <m/>
    <n v="45474"/>
    <n v="47232"/>
    <n v="11073"/>
    <n v="10936"/>
    <n v="48741"/>
    <n v="45336"/>
    <n v="105288"/>
    <n v="3509.6"/>
    <n v="103504"/>
    <n v="3450.1333333333332"/>
    <n v="3498"/>
    <n v="3426"/>
    <n v="105288"/>
    <n v="103504"/>
    <m/>
    <m/>
    <m/>
    <m/>
    <m/>
    <m/>
    <m/>
    <m/>
    <n v="0"/>
    <n v="0"/>
    <n v="0"/>
    <n v="0"/>
    <m/>
    <m/>
    <n v="0"/>
    <n v="0"/>
    <m/>
    <m/>
    <m/>
    <m/>
    <m/>
    <m/>
    <m/>
    <m/>
    <n v="0"/>
    <n v="0"/>
    <n v="0"/>
    <n v="0"/>
    <n v="3509.6"/>
    <n v="3450.1333333333332"/>
  </r>
  <r>
    <x v="15"/>
    <s v="West Virginia Northern Community College"/>
    <s v="Reclassified: met the criteria for Two-Year 2 in 2009-10, 2010-11 and 2011-12."/>
    <n v="238014"/>
    <x v="7"/>
    <s v="sem"/>
    <s v="sem"/>
    <m/>
    <m/>
    <n v="32472.799999999999"/>
    <n v="32391.200000000001"/>
    <n v="10777"/>
    <n v="9928.5"/>
    <n v="33416.5"/>
    <n v="29346"/>
    <n v="76666.3"/>
    <n v="2555.5433333333335"/>
    <n v="71665.7"/>
    <n v="2388.8566666666666"/>
    <n v="3076"/>
    <n v="3170.5"/>
    <n v="76666.3"/>
    <n v="71665.7"/>
    <m/>
    <m/>
    <m/>
    <m/>
    <m/>
    <m/>
    <m/>
    <m/>
    <n v="0"/>
    <n v="0"/>
    <n v="0"/>
    <n v="0"/>
    <m/>
    <m/>
    <n v="0"/>
    <n v="0"/>
    <m/>
    <m/>
    <m/>
    <m/>
    <m/>
    <m/>
    <m/>
    <m/>
    <n v="0"/>
    <n v="0"/>
    <n v="0"/>
    <n v="0"/>
    <n v="2555.5433333333335"/>
    <n v="2388.8566666666666"/>
  </r>
  <r>
    <x v="15"/>
    <s v="Blue Ridge Community &amp; Technical College"/>
    <m/>
    <n v="446774"/>
    <x v="8"/>
    <s v="sem"/>
    <s v="sem"/>
    <m/>
    <m/>
    <n v="20865.599999999999"/>
    <n v="24794.400000000001"/>
    <n v="4573"/>
    <n v="4480"/>
    <n v="26263.599999999999"/>
    <n v="28410.3"/>
    <n v="51702.2"/>
    <n v="1723.4066666666665"/>
    <n v="57684.7"/>
    <n v="1922.8233333333333"/>
    <n v="1341.7"/>
    <n v="1299.3"/>
    <n v="51702.2"/>
    <n v="57684.7"/>
    <m/>
    <m/>
    <m/>
    <m/>
    <m/>
    <m/>
    <m/>
    <m/>
    <n v="0"/>
    <n v="0"/>
    <n v="0"/>
    <n v="0"/>
    <m/>
    <m/>
    <n v="0"/>
    <n v="0"/>
    <m/>
    <m/>
    <m/>
    <m/>
    <m/>
    <m/>
    <m/>
    <m/>
    <n v="0"/>
    <n v="0"/>
    <n v="0"/>
    <n v="0"/>
    <n v="1723.4066666666665"/>
    <n v="1922.8233333333333"/>
  </r>
  <r>
    <x v="15"/>
    <s v="Bridgemont Community &amp; Technical College"/>
    <m/>
    <n v="445674"/>
    <x v="8"/>
    <s v="sem"/>
    <s v="sem"/>
    <m/>
    <m/>
    <n v="8189"/>
    <n v="7919.5"/>
    <n v="297"/>
    <n v="415"/>
    <n v="9024"/>
    <n v="9297.2999999999993"/>
    <n v="17510"/>
    <n v="583.66666666666663"/>
    <n v="17631.8"/>
    <n v="587.72666666666669"/>
    <n v="590"/>
    <n v="603"/>
    <n v="17510"/>
    <n v="17631.8"/>
    <m/>
    <m/>
    <m/>
    <m/>
    <m/>
    <m/>
    <m/>
    <m/>
    <n v="0"/>
    <n v="0"/>
    <n v="0"/>
    <n v="0"/>
    <m/>
    <m/>
    <n v="0"/>
    <n v="0"/>
    <m/>
    <m/>
    <m/>
    <m/>
    <m/>
    <m/>
    <m/>
    <m/>
    <n v="0"/>
    <n v="0"/>
    <n v="0"/>
    <n v="0"/>
    <n v="583.66666666666663"/>
    <n v="587.72666666666669"/>
  </r>
  <r>
    <x v="15"/>
    <s v="Eastern West Virginia Community &amp; Technical College"/>
    <m/>
    <n v="438708"/>
    <x v="8"/>
    <s v="sem"/>
    <s v="sem"/>
    <m/>
    <m/>
    <n v="4807"/>
    <n v="5136"/>
    <n v="626"/>
    <n v="942"/>
    <n v="5321"/>
    <n v="6472"/>
    <n v="10754"/>
    <n v="358.46666666666664"/>
    <n v="12550"/>
    <n v="418.33333333333331"/>
    <n v="1253"/>
    <n v="1132"/>
    <n v="10754"/>
    <n v="12550"/>
    <m/>
    <m/>
    <m/>
    <m/>
    <m/>
    <m/>
    <m/>
    <m/>
    <n v="0"/>
    <n v="0"/>
    <n v="0"/>
    <n v="0"/>
    <m/>
    <m/>
    <n v="0"/>
    <n v="0"/>
    <m/>
    <m/>
    <m/>
    <m/>
    <m/>
    <m/>
    <m/>
    <m/>
    <n v="0"/>
    <n v="0"/>
    <n v="0"/>
    <n v="0"/>
    <n v="358.46666666666664"/>
    <n v="418.33333333333331"/>
  </r>
  <r>
    <x v="15"/>
    <s v="Kanawha Valley Community &amp; Technical College"/>
    <m/>
    <n v="445018"/>
    <x v="8"/>
    <s v="sem"/>
    <s v="sem"/>
    <m/>
    <m/>
    <n v="16830"/>
    <n v="17884"/>
    <n v="1484"/>
    <n v="1872"/>
    <n v="18578"/>
    <n v="17658"/>
    <n v="36892"/>
    <n v="1229.7333333333333"/>
    <n v="37414"/>
    <n v="1247.1333333333334"/>
    <n v="452"/>
    <n v="166"/>
    <n v="36892"/>
    <n v="37414"/>
    <m/>
    <m/>
    <m/>
    <m/>
    <m/>
    <m/>
    <m/>
    <m/>
    <n v="0"/>
    <n v="0"/>
    <n v="0"/>
    <n v="0"/>
    <m/>
    <m/>
    <n v="0"/>
    <n v="0"/>
    <m/>
    <m/>
    <m/>
    <m/>
    <m/>
    <m/>
    <m/>
    <m/>
    <n v="0"/>
    <n v="0"/>
    <n v="0"/>
    <n v="0"/>
    <n v="1229.7333333333333"/>
    <n v="1247.1333333333334"/>
  </r>
  <r>
    <x v="15"/>
    <s v="Mountwest Community &amp; Technical College"/>
    <m/>
    <n v="444954"/>
    <x v="8"/>
    <s v="sem"/>
    <s v="sem"/>
    <m/>
    <m/>
    <n v="25352.2"/>
    <n v="26117.8"/>
    <n v="3578"/>
    <n v="5014"/>
    <n v="28793.8"/>
    <n v="27935.599999999999"/>
    <n v="57724"/>
    <n v="1924.1333333333334"/>
    <n v="59067.399999999994"/>
    <n v="1968.9133333333332"/>
    <n v="1315"/>
    <n v="1376"/>
    <n v="57724"/>
    <n v="59067.399999999994"/>
    <m/>
    <m/>
    <m/>
    <m/>
    <m/>
    <m/>
    <m/>
    <m/>
    <n v="0"/>
    <n v="0"/>
    <n v="0"/>
    <n v="0"/>
    <m/>
    <m/>
    <n v="0"/>
    <n v="0"/>
    <m/>
    <m/>
    <m/>
    <m/>
    <m/>
    <m/>
    <m/>
    <m/>
    <n v="0"/>
    <n v="0"/>
    <n v="0"/>
    <n v="0"/>
    <n v="1924.1333333333334"/>
    <n v="1968.9133333333332"/>
  </r>
  <r>
    <x v="15"/>
    <s v="New River Community &amp; Technical College"/>
    <s v="Met criteria for Two-Year 2 in 2010-11 and 2011-12."/>
    <n v="447582"/>
    <x v="8"/>
    <s v="sem"/>
    <s v="sem"/>
    <m/>
    <m/>
    <n v="30185"/>
    <n v="28725"/>
    <n v="6075"/>
    <n v="4482"/>
    <n v="30720"/>
    <n v="30326.5"/>
    <n v="66980"/>
    <n v="2232.6666666666665"/>
    <n v="63533.5"/>
    <n v="2117.7833333333333"/>
    <n v="2394"/>
    <n v="1939"/>
    <n v="66980"/>
    <n v="63533.5"/>
    <m/>
    <m/>
    <m/>
    <m/>
    <m/>
    <m/>
    <m/>
    <m/>
    <n v="0"/>
    <n v="0"/>
    <n v="0"/>
    <n v="0"/>
    <m/>
    <m/>
    <n v="0"/>
    <n v="0"/>
    <m/>
    <m/>
    <m/>
    <m/>
    <m/>
    <m/>
    <m/>
    <m/>
    <n v="0"/>
    <n v="0"/>
    <n v="0"/>
    <n v="0"/>
    <n v="2232.6666666666665"/>
    <n v="2117.7833333333333"/>
  </r>
  <r>
    <x v="15"/>
    <s v="Pierpont Community &amp; Technical College"/>
    <s v="Met criteria for Two-Year 2 in 2010-11 and 2011-12."/>
    <n v="443492"/>
    <x v="8"/>
    <s v="sem"/>
    <s v="sem"/>
    <m/>
    <m/>
    <n v="28863"/>
    <n v="30478"/>
    <n v="3986"/>
    <n v="4727"/>
    <n v="32259"/>
    <n v="33094"/>
    <n v="65108"/>
    <n v="2170.2666666666669"/>
    <n v="68299"/>
    <n v="2276.6333333333332"/>
    <n v="4112"/>
    <n v="3921"/>
    <n v="65108"/>
    <n v="68299"/>
    <m/>
    <m/>
    <m/>
    <m/>
    <m/>
    <m/>
    <m/>
    <m/>
    <n v="0"/>
    <n v="0"/>
    <n v="0"/>
    <n v="0"/>
    <m/>
    <m/>
    <n v="0"/>
    <n v="0"/>
    <m/>
    <m/>
    <m/>
    <m/>
    <m/>
    <m/>
    <m/>
    <m/>
    <n v="0"/>
    <n v="0"/>
    <n v="0"/>
    <n v="0"/>
    <n v="2170.2666666666669"/>
    <n v="2276.6333333333332"/>
  </r>
  <r>
    <x v="15"/>
    <s v="Southern West Virginia Community &amp; Technical College "/>
    <m/>
    <n v="237817"/>
    <x v="8"/>
    <s v="sem"/>
    <s v="sem"/>
    <m/>
    <m/>
    <n v="23160"/>
    <n v="21340"/>
    <n v="2127"/>
    <n v="2679"/>
    <n v="26709"/>
    <n v="25278"/>
    <n v="51996"/>
    <n v="1733.2"/>
    <n v="49297"/>
    <n v="1643.2333333333333"/>
    <n v="3146"/>
    <n v="3273"/>
    <n v="51996"/>
    <n v="49297"/>
    <m/>
    <m/>
    <m/>
    <m/>
    <m/>
    <m/>
    <m/>
    <m/>
    <n v="0"/>
    <n v="0"/>
    <n v="0"/>
    <n v="0"/>
    <m/>
    <m/>
    <n v="0"/>
    <n v="0"/>
    <m/>
    <m/>
    <m/>
    <m/>
    <m/>
    <m/>
    <m/>
    <m/>
    <n v="0"/>
    <n v="0"/>
    <n v="0"/>
    <n v="0"/>
    <n v="1733.2"/>
    <n v="1643.2333333333333"/>
  </r>
</pivotCacheRecords>
</file>

<file path=xl/pivotCache/pivotCacheRecords2.xml><?xml version="1.0" encoding="utf-8"?>
<pivotCacheRecords xmlns="http://schemas.openxmlformats.org/spreadsheetml/2006/main" xmlns:r="http://schemas.openxmlformats.org/officeDocument/2006/relationships" count="686">
  <r>
    <x v="0"/>
    <s v="Auburn University"/>
    <m/>
    <n v="100858"/>
    <x v="0"/>
    <s v="sem"/>
    <s v="sem"/>
    <m/>
    <m/>
    <n v="249642"/>
    <n v="256295"/>
    <n v="55703"/>
    <n v="55115"/>
    <n v="277275"/>
    <n v="281868"/>
    <n v="582620"/>
    <n v="19420.666666666668"/>
    <n v="593278"/>
    <n v="19775.933333333334"/>
    <n v="24"/>
    <n v="27"/>
    <n v="582620"/>
    <n v="593278"/>
    <m/>
    <m/>
    <m/>
    <m/>
    <m/>
    <m/>
    <m/>
    <m/>
    <n v="0"/>
    <n v="0"/>
    <n v="0"/>
    <n v="0"/>
    <m/>
    <m/>
    <n v="0"/>
    <n v="0"/>
  </r>
  <r>
    <x v="0"/>
    <s v="University of Alabama "/>
    <m/>
    <n v="100751"/>
    <x v="0"/>
    <s v="sem"/>
    <s v="sem"/>
    <m/>
    <m/>
    <n v="303941"/>
    <n v="316793"/>
    <n v="62595"/>
    <n v="60132"/>
    <n v="335057"/>
    <n v="353356"/>
    <n v="701593"/>
    <n v="23386.433333333334"/>
    <n v="730281"/>
    <n v="24342.7"/>
    <n v="548"/>
    <n v="1685"/>
    <n v="701593"/>
    <n v="730281"/>
    <m/>
    <m/>
    <m/>
    <m/>
    <m/>
    <m/>
    <m/>
    <m/>
    <n v="0"/>
    <n v="0"/>
    <n v="0"/>
    <n v="0"/>
    <m/>
    <m/>
    <n v="0"/>
    <n v="0"/>
  </r>
  <r>
    <x v="0"/>
    <s v="University of Alabama at Birmingham"/>
    <s v="Met the criteria for Four-Year 2 in 2010-11 and 2011-12."/>
    <n v="100663"/>
    <x v="0"/>
    <s v="sem"/>
    <s v="sem"/>
    <m/>
    <m/>
    <n v="109709"/>
    <n v="113224"/>
    <n v="30668"/>
    <n v="28982"/>
    <n v="122371"/>
    <n v="122877"/>
    <n v="262748"/>
    <n v="8758.2666666666664"/>
    <n v="265083"/>
    <n v="8836.1"/>
    <n v="78"/>
    <n v="55"/>
    <n v="262748"/>
    <n v="265083"/>
    <m/>
    <m/>
    <m/>
    <m/>
    <m/>
    <m/>
    <m/>
    <m/>
    <n v="0"/>
    <n v="0"/>
    <n v="0"/>
    <n v="0"/>
    <m/>
    <m/>
    <n v="0"/>
    <n v="0"/>
  </r>
  <r>
    <x v="0"/>
    <s v="University of Alabama in Huntsville"/>
    <m/>
    <n v="100706"/>
    <x v="1"/>
    <s v="sem"/>
    <s v="sem"/>
    <m/>
    <m/>
    <n v="69992"/>
    <n v="66744"/>
    <n v="18629"/>
    <n v="17137"/>
    <n v="72440"/>
    <n v="71501"/>
    <n v="161061"/>
    <n v="5368.7"/>
    <n v="155382"/>
    <n v="5179.3999999999996"/>
    <n v="388.5"/>
    <n v="416"/>
    <n v="161061"/>
    <n v="155382"/>
    <m/>
    <m/>
    <m/>
    <m/>
    <m/>
    <m/>
    <m/>
    <m/>
    <n v="0"/>
    <n v="0"/>
    <n v="0"/>
    <n v="0"/>
    <m/>
    <m/>
    <n v="0"/>
    <n v="0"/>
  </r>
  <r>
    <x v="0"/>
    <s v="Alabama Agricultural &amp; Mechanical University"/>
    <m/>
    <n v="100654"/>
    <x v="2"/>
    <s v="sem"/>
    <s v="sem"/>
    <m/>
    <m/>
    <n v="56705"/>
    <n v="60071"/>
    <n v="10528"/>
    <n v="21464"/>
    <n v="67482"/>
    <n v="59381"/>
    <n v="134715"/>
    <n v="4490.5"/>
    <n v="140916"/>
    <n v="4697.2"/>
    <n v="24"/>
    <n v="9"/>
    <n v="134715"/>
    <n v="140916"/>
    <m/>
    <m/>
    <m/>
    <m/>
    <m/>
    <m/>
    <m/>
    <m/>
    <n v="0"/>
    <n v="0"/>
    <n v="0"/>
    <n v="0"/>
    <m/>
    <m/>
    <n v="0"/>
    <n v="0"/>
  </r>
  <r>
    <x v="0"/>
    <s v="Jacksonville State University "/>
    <m/>
    <n v="101480"/>
    <x v="2"/>
    <s v="sem"/>
    <s v="sem"/>
    <m/>
    <m/>
    <n v="86840"/>
    <n v="88230"/>
    <n v="26865"/>
    <n v="27021"/>
    <n v="93136"/>
    <n v="98584"/>
    <n v="206841"/>
    <n v="6894.7"/>
    <n v="213835"/>
    <n v="7127.833333333333"/>
    <n v="1969"/>
    <n v="1906"/>
    <n v="206841"/>
    <n v="213835"/>
    <m/>
    <m/>
    <m/>
    <m/>
    <m/>
    <m/>
    <m/>
    <m/>
    <n v="0"/>
    <n v="0"/>
    <n v="0"/>
    <n v="0"/>
    <m/>
    <m/>
    <n v="0"/>
    <n v="0"/>
  </r>
  <r>
    <x v="0"/>
    <s v="Troy University"/>
    <m/>
    <n v="102368"/>
    <x v="2"/>
    <s v="sem"/>
    <s v="sem"/>
    <m/>
    <m/>
    <n v="149708"/>
    <n v="146595"/>
    <n v="41236"/>
    <n v="38268"/>
    <n v="156741"/>
    <n v="197682"/>
    <n v="347685"/>
    <n v="11589.5"/>
    <n v="382545"/>
    <n v="12751.5"/>
    <n v="328"/>
    <n v="286"/>
    <n v="347685"/>
    <n v="382545"/>
    <m/>
    <m/>
    <m/>
    <m/>
    <m/>
    <m/>
    <m/>
    <m/>
    <n v="0"/>
    <n v="0"/>
    <n v="0"/>
    <n v="0"/>
    <m/>
    <m/>
    <n v="0"/>
    <n v="0"/>
  </r>
  <r>
    <x v="0"/>
    <s v="University of South Alabama"/>
    <m/>
    <n v="102094"/>
    <x v="2"/>
    <s v="sem"/>
    <s v="sem"/>
    <m/>
    <m/>
    <n v="115817"/>
    <n v="115521"/>
    <n v="28931"/>
    <n v="28710"/>
    <n v="127980"/>
    <n v="128593"/>
    <n v="272728"/>
    <n v="9090.9333333333325"/>
    <n v="272824"/>
    <n v="9094.1333333333332"/>
    <n v="661"/>
    <n v="384"/>
    <n v="272728"/>
    <n v="272824"/>
    <m/>
    <m/>
    <m/>
    <m/>
    <m/>
    <m/>
    <m/>
    <m/>
    <n v="0"/>
    <n v="0"/>
    <n v="0"/>
    <n v="0"/>
    <m/>
    <m/>
    <n v="0"/>
    <n v="0"/>
  </r>
  <r>
    <x v="0"/>
    <s v="Alabama State University "/>
    <m/>
    <n v="100724"/>
    <x v="3"/>
    <s v="sem"/>
    <s v="sem"/>
    <m/>
    <m/>
    <n v="62452"/>
    <n v="70196"/>
    <n v="20083"/>
    <n v="16252"/>
    <n v="72802"/>
    <n v="69893"/>
    <n v="155337"/>
    <n v="5177.8999999999996"/>
    <n v="156341"/>
    <n v="5211.3666666666668"/>
    <n v="0"/>
    <n v="0"/>
    <n v="155337"/>
    <n v="156341"/>
    <m/>
    <m/>
    <m/>
    <m/>
    <m/>
    <m/>
    <m/>
    <m/>
    <n v="0"/>
    <n v="0"/>
    <n v="0"/>
    <n v="0"/>
    <m/>
    <m/>
    <n v="0"/>
    <n v="0"/>
  </r>
  <r>
    <x v="0"/>
    <s v="Auburn University at Montgomery"/>
    <m/>
    <n v="100830"/>
    <x v="3"/>
    <s v="sem"/>
    <s v="sem"/>
    <m/>
    <m/>
    <n v="50062"/>
    <n v="50147"/>
    <n v="17096"/>
    <n v="15040"/>
    <n v="55193"/>
    <n v="49118"/>
    <n v="122351"/>
    <n v="4078.3666666666668"/>
    <n v="114305"/>
    <n v="3810.1666666666665"/>
    <n v="35"/>
    <n v="77"/>
    <n v="122351"/>
    <n v="114305"/>
    <m/>
    <m/>
    <m/>
    <m/>
    <m/>
    <m/>
    <m/>
    <m/>
    <n v="0"/>
    <n v="0"/>
    <n v="0"/>
    <n v="0"/>
    <m/>
    <m/>
    <n v="0"/>
    <n v="0"/>
  </r>
  <r>
    <x v="0"/>
    <s v="University of North Alabama"/>
    <m/>
    <n v="101879"/>
    <x v="3"/>
    <s v="sem"/>
    <s v="sem"/>
    <m/>
    <m/>
    <n v="69948"/>
    <n v="70318"/>
    <n v="15309"/>
    <n v="15907"/>
    <n v="77091"/>
    <n v="75370"/>
    <n v="162348"/>
    <n v="5411.6"/>
    <n v="161595"/>
    <n v="5386.5"/>
    <n v="2686"/>
    <n v="2573"/>
    <n v="162348"/>
    <n v="161595"/>
    <m/>
    <m/>
    <m/>
    <m/>
    <m/>
    <m/>
    <m/>
    <m/>
    <n v="0"/>
    <n v="0"/>
    <n v="0"/>
    <n v="0"/>
    <m/>
    <m/>
    <n v="0"/>
    <n v="0"/>
  </r>
  <r>
    <x v="0"/>
    <s v="University of Montevallo"/>
    <m/>
    <n v="101709"/>
    <x v="4"/>
    <s v="sem"/>
    <s v="sem"/>
    <m/>
    <m/>
    <n v="32032"/>
    <n v="31500"/>
    <n v="7372"/>
    <n v="6846"/>
    <n v="33590"/>
    <n v="34130"/>
    <n v="72994"/>
    <n v="2433.1333333333332"/>
    <n v="72476"/>
    <n v="2415.8666666666668"/>
    <n v="80"/>
    <n v="71"/>
    <n v="72994"/>
    <n v="72476"/>
    <m/>
    <m/>
    <m/>
    <m/>
    <m/>
    <m/>
    <m/>
    <m/>
    <n v="0"/>
    <n v="0"/>
    <n v="0"/>
    <n v="0"/>
    <m/>
    <m/>
    <n v="0"/>
    <n v="0"/>
  </r>
  <r>
    <x v="0"/>
    <s v="University of West Alabama"/>
    <m/>
    <n v="101587"/>
    <x v="4"/>
    <s v="sem"/>
    <s v="sem"/>
    <m/>
    <m/>
    <n v="20753"/>
    <n v="21131"/>
    <n v="6559"/>
    <n v="6056"/>
    <n v="24021"/>
    <n v="25093"/>
    <n v="51333"/>
    <n v="1711.1"/>
    <n v="52280"/>
    <n v="1742.6666666666667"/>
    <n v="76"/>
    <n v="87"/>
    <n v="51333"/>
    <n v="52280"/>
    <m/>
    <m/>
    <m/>
    <m/>
    <m/>
    <m/>
    <m/>
    <m/>
    <n v="0"/>
    <n v="0"/>
    <n v="0"/>
    <n v="0"/>
    <m/>
    <m/>
    <n v="0"/>
    <n v="0"/>
  </r>
  <r>
    <x v="0"/>
    <s v="Athens State University"/>
    <m/>
    <n v="100812"/>
    <x v="5"/>
    <s v="sem"/>
    <s v="sem"/>
    <m/>
    <m/>
    <n v="33187"/>
    <n v="32522"/>
    <n v="21688"/>
    <n v="20842"/>
    <n v="34315"/>
    <n v="32338"/>
    <n v="89190"/>
    <n v="2973"/>
    <n v="85702"/>
    <n v="2856.7333333333331"/>
    <n v="0"/>
    <n v="0"/>
    <n v="89190"/>
    <n v="85702"/>
    <m/>
    <m/>
    <m/>
    <m/>
    <m/>
    <m/>
    <m/>
    <m/>
    <n v="0"/>
    <n v="0"/>
    <n v="0"/>
    <n v="0"/>
    <m/>
    <m/>
    <n v="0"/>
    <n v="0"/>
  </r>
  <r>
    <x v="0"/>
    <s v="Gadsden State Community College"/>
    <s v="Reclassified: Met the criteria for Two-Year 1 in 2009-10, 2010-11 and 2011-12."/>
    <n v="101240"/>
    <x v="6"/>
    <s v="sem"/>
    <s v="sem"/>
    <m/>
    <m/>
    <n v="70538"/>
    <n v="70362"/>
    <n v="37324"/>
    <n v="34759"/>
    <n v="74798"/>
    <n v="70491"/>
    <n v="182660"/>
    <n v="6088.666666666667"/>
    <n v="175612"/>
    <n v="5853.7333333333336"/>
    <n v="2092"/>
    <n v="2689"/>
    <n v="182660"/>
    <n v="175612"/>
    <m/>
    <m/>
    <m/>
    <m/>
    <m/>
    <m/>
    <m/>
    <m/>
    <n v="0"/>
    <n v="0"/>
    <n v="0"/>
    <n v="0"/>
    <m/>
    <m/>
    <n v="0"/>
    <n v="0"/>
  </r>
  <r>
    <x v="0"/>
    <s v="Jefferson State Community College"/>
    <m/>
    <n v="101505"/>
    <x v="6"/>
    <s v="sem"/>
    <s v="sem"/>
    <m/>
    <m/>
    <n v="74329"/>
    <n v="78960"/>
    <n v="40840"/>
    <n v="41971"/>
    <n v="84949"/>
    <n v="81990"/>
    <n v="200118"/>
    <n v="6670.6"/>
    <n v="202921"/>
    <n v="6764.0333333333338"/>
    <n v="6177"/>
    <n v="5753"/>
    <n v="200118"/>
    <n v="202921"/>
    <m/>
    <m/>
    <m/>
    <m/>
    <m/>
    <m/>
    <m/>
    <m/>
    <n v="0"/>
    <n v="0"/>
    <n v="0"/>
    <n v="0"/>
    <m/>
    <m/>
    <n v="0"/>
    <n v="0"/>
  </r>
  <r>
    <x v="0"/>
    <s v="John C. Calhoun State Community College "/>
    <m/>
    <n v="101514"/>
    <x v="6"/>
    <s v="sem"/>
    <s v="sem"/>
    <m/>
    <m/>
    <n v="101044"/>
    <n v="105691"/>
    <n v="47388"/>
    <n v="46471"/>
    <n v="112345"/>
    <n v="109962"/>
    <n v="260777"/>
    <n v="8692.5666666666675"/>
    <n v="262124"/>
    <n v="8737.4666666666672"/>
    <n v="8824"/>
    <n v="9688"/>
    <n v="260777"/>
    <n v="262124"/>
    <m/>
    <m/>
    <m/>
    <m/>
    <m/>
    <m/>
    <m/>
    <m/>
    <n v="0"/>
    <n v="0"/>
    <n v="0"/>
    <n v="0"/>
    <m/>
    <m/>
    <n v="0"/>
    <n v="0"/>
  </r>
  <r>
    <x v="0"/>
    <s v="Wallace Community College - Hanceville"/>
    <s v="Reclassified: Met the criteria for Two-Year 1 in 2009-10, 2010-11 and 2011-12."/>
    <n v="101295"/>
    <x v="6"/>
    <s v="sem"/>
    <s v="sem"/>
    <m/>
    <m/>
    <n v="68171"/>
    <n v="67685"/>
    <n v="35117"/>
    <n v="31282"/>
    <n v="69774"/>
    <n v="61700"/>
    <n v="173062"/>
    <n v="5768.7333333333336"/>
    <n v="160667"/>
    <n v="5355.5666666666666"/>
    <n v="4730"/>
    <n v="4673"/>
    <n v="173062"/>
    <n v="160667"/>
    <m/>
    <m/>
    <m/>
    <m/>
    <m/>
    <m/>
    <m/>
    <m/>
    <n v="0"/>
    <n v="0"/>
    <n v="0"/>
    <n v="0"/>
    <m/>
    <m/>
    <n v="0"/>
    <n v="0"/>
  </r>
  <r>
    <x v="0"/>
    <s v="Bevill State Community College"/>
    <m/>
    <n v="102429"/>
    <x v="7"/>
    <s v="sem"/>
    <s v="sem"/>
    <m/>
    <m/>
    <n v="47199"/>
    <n v="45434"/>
    <n v="24194"/>
    <n v="19403"/>
    <n v="50399"/>
    <n v="43114"/>
    <n v="121792"/>
    <n v="4059.7333333333331"/>
    <n v="107951"/>
    <n v="3598.3666666666668"/>
    <n v="1558"/>
    <n v="1406"/>
    <n v="121792"/>
    <n v="107951"/>
    <m/>
    <m/>
    <m/>
    <m/>
    <m/>
    <m/>
    <m/>
    <m/>
    <n v="0"/>
    <n v="0"/>
    <n v="0"/>
    <n v="0"/>
    <m/>
    <m/>
    <n v="0"/>
    <n v="0"/>
  </r>
  <r>
    <x v="0"/>
    <s v="Bishop State Community College"/>
    <m/>
    <n v="102030"/>
    <x v="7"/>
    <s v="sem"/>
    <s v="sem"/>
    <m/>
    <m/>
    <n v="35275"/>
    <n v="36750"/>
    <n v="16660"/>
    <n v="16077"/>
    <n v="34475"/>
    <n v="37535"/>
    <n v="86410"/>
    <n v="2880.3333333333335"/>
    <n v="90362"/>
    <n v="3012.0666666666666"/>
    <n v="3809"/>
    <n v="3808"/>
    <n v="86410"/>
    <n v="90362"/>
    <m/>
    <m/>
    <m/>
    <m/>
    <m/>
    <m/>
    <m/>
    <m/>
    <n v="0"/>
    <n v="0"/>
    <n v="0"/>
    <n v="0"/>
    <m/>
    <m/>
    <n v="0"/>
    <n v="0"/>
  </r>
  <r>
    <x v="0"/>
    <s v="Central Alabama Community College"/>
    <s v="Reclassified: Met the criteria for Two-Year 2 in 2009-10, 2010-11 and 2011-12."/>
    <n v="100760"/>
    <x v="7"/>
    <s v="sem"/>
    <s v="sem"/>
    <m/>
    <m/>
    <n v="25308"/>
    <n v="23564"/>
    <n v="14585"/>
    <n v="12652"/>
    <n v="26629"/>
    <n v="26211"/>
    <n v="66522"/>
    <n v="2217.4"/>
    <n v="62427"/>
    <n v="2080.9"/>
    <n v="870"/>
    <n v="870"/>
    <n v="66522"/>
    <n v="62427"/>
    <m/>
    <m/>
    <m/>
    <m/>
    <m/>
    <m/>
    <m/>
    <m/>
    <n v="0"/>
    <n v="0"/>
    <n v="0"/>
    <n v="0"/>
    <m/>
    <m/>
    <n v="0"/>
    <n v="0"/>
  </r>
  <r>
    <x v="0"/>
    <s v="Enterprise State Community College"/>
    <s v="Reclassified: Met the criteria for Two-Year 2 in 2009-10, 2010-11 and 2011-12. Formerly listed as Enterprise-Ozark Community College -- name changed in 2009."/>
    <n v="101143"/>
    <x v="7"/>
    <s v="sem"/>
    <s v="sem"/>
    <m/>
    <m/>
    <n v="31998"/>
    <n v="32701"/>
    <n v="18066"/>
    <n v="17224"/>
    <n v="33445"/>
    <n v="31824"/>
    <n v="83509"/>
    <n v="2783.6333333333332"/>
    <n v="81749"/>
    <n v="2724.9666666666667"/>
    <n v="2539"/>
    <n v="2660"/>
    <n v="83509"/>
    <n v="81749"/>
    <m/>
    <m/>
    <m/>
    <m/>
    <m/>
    <m/>
    <m/>
    <m/>
    <n v="0"/>
    <n v="0"/>
    <n v="0"/>
    <n v="0"/>
    <m/>
    <m/>
    <n v="0"/>
    <n v="0"/>
  </r>
  <r>
    <x v="0"/>
    <s v="George C. Wallace State Community College - Dothan"/>
    <m/>
    <n v="101286"/>
    <x v="7"/>
    <s v="sem"/>
    <s v="sem"/>
    <m/>
    <m/>
    <n v="47964"/>
    <n v="48365"/>
    <n v="28115"/>
    <n v="27326"/>
    <n v="50522"/>
    <n v="49568"/>
    <n v="126601"/>
    <n v="4220.0333333333338"/>
    <n v="125259"/>
    <n v="4175.3"/>
    <n v="2370"/>
    <n v="1953"/>
    <n v="126601"/>
    <n v="125259"/>
    <m/>
    <m/>
    <m/>
    <m/>
    <m/>
    <m/>
    <m/>
    <m/>
    <n v="0"/>
    <n v="0"/>
    <n v="0"/>
    <n v="0"/>
    <m/>
    <m/>
    <n v="0"/>
    <n v="0"/>
  </r>
  <r>
    <x v="0"/>
    <s v="James H. Faulkner State Community College"/>
    <m/>
    <n v="101161"/>
    <x v="7"/>
    <s v="sem"/>
    <s v="sem"/>
    <m/>
    <m/>
    <n v="46228"/>
    <n v="48165"/>
    <n v="21933"/>
    <n v="22353"/>
    <n v="50470"/>
    <n v="47216"/>
    <n v="118631"/>
    <n v="3954.3666666666668"/>
    <n v="117734"/>
    <n v="3924.4666666666667"/>
    <n v="2453"/>
    <n v="2833"/>
    <n v="118631"/>
    <n v="117734"/>
    <m/>
    <m/>
    <m/>
    <m/>
    <m/>
    <m/>
    <m/>
    <m/>
    <n v="0"/>
    <n v="0"/>
    <n v="0"/>
    <n v="0"/>
    <m/>
    <m/>
    <n v="0"/>
    <n v="0"/>
  </r>
  <r>
    <x v="0"/>
    <s v="Lawson State Community College "/>
    <m/>
    <n v="101569"/>
    <x v="7"/>
    <s v="sem"/>
    <s v="sem"/>
    <m/>
    <m/>
    <n v="44406"/>
    <n v="46382"/>
    <n v="21840"/>
    <n v="22575"/>
    <n v="50388"/>
    <n v="45440"/>
    <n v="116634"/>
    <n v="3887.8"/>
    <n v="114397"/>
    <n v="3813.2333333333331"/>
    <n v="539"/>
    <n v="825"/>
    <n v="116634"/>
    <n v="114397"/>
    <m/>
    <m/>
    <m/>
    <m/>
    <m/>
    <m/>
    <m/>
    <m/>
    <n v="0"/>
    <n v="0"/>
    <n v="0"/>
    <n v="0"/>
    <m/>
    <m/>
    <n v="0"/>
    <n v="0"/>
  </r>
  <r>
    <x v="0"/>
    <s v="Northeast Alabama State Community College "/>
    <m/>
    <n v="101897"/>
    <x v="7"/>
    <s v="sem"/>
    <s v="sem"/>
    <m/>
    <m/>
    <n v="34359"/>
    <n v="33700"/>
    <n v="19229"/>
    <n v="17668"/>
    <n v="35748"/>
    <n v="33253"/>
    <n v="89336"/>
    <n v="2977.8666666666668"/>
    <n v="84621"/>
    <n v="2820.7"/>
    <n v="3698"/>
    <n v="3830"/>
    <n v="89336"/>
    <n v="84621"/>
    <m/>
    <m/>
    <m/>
    <m/>
    <m/>
    <m/>
    <m/>
    <m/>
    <n v="0"/>
    <n v="0"/>
    <n v="0"/>
    <n v="0"/>
    <m/>
    <m/>
    <n v="0"/>
    <n v="0"/>
  </r>
  <r>
    <x v="0"/>
    <s v="Northwest-Shoals Community College"/>
    <m/>
    <n v="101736"/>
    <x v="7"/>
    <s v="sem"/>
    <s v="sem"/>
    <m/>
    <m/>
    <n v="41656"/>
    <n v="40076"/>
    <n v="18559"/>
    <n v="15184"/>
    <n v="45704"/>
    <n v="38579"/>
    <n v="105919"/>
    <n v="3530.6333333333332"/>
    <n v="93839"/>
    <n v="3127.9666666666667"/>
    <n v="4331"/>
    <n v="4701"/>
    <n v="105919"/>
    <n v="93839"/>
    <m/>
    <m/>
    <m/>
    <m/>
    <m/>
    <m/>
    <m/>
    <m/>
    <n v="0"/>
    <n v="0"/>
    <n v="0"/>
    <n v="0"/>
    <m/>
    <m/>
    <n v="0"/>
    <n v="0"/>
  </r>
  <r>
    <x v="0"/>
    <s v="Shelton State Community College"/>
    <m/>
    <n v="102067"/>
    <x v="7"/>
    <s v="sem"/>
    <s v="sem"/>
    <m/>
    <m/>
    <n v="58953"/>
    <n v="56989"/>
    <n v="33481"/>
    <n v="27055"/>
    <n v="62915"/>
    <n v="54601"/>
    <n v="155349"/>
    <n v="5178.3"/>
    <n v="138645"/>
    <n v="4621.5"/>
    <n v="886"/>
    <n v="607"/>
    <n v="155349"/>
    <n v="138645"/>
    <m/>
    <m/>
    <m/>
    <m/>
    <m/>
    <m/>
    <m/>
    <m/>
    <n v="0"/>
    <n v="0"/>
    <n v="0"/>
    <n v="0"/>
    <m/>
    <m/>
    <n v="0"/>
    <n v="0"/>
  </r>
  <r>
    <x v="0"/>
    <s v="Southern Union State Community College"/>
    <m/>
    <n v="251260"/>
    <x v="7"/>
    <s v="sem"/>
    <s v="sem"/>
    <m/>
    <m/>
    <n v="54409"/>
    <n v="52183"/>
    <n v="25831"/>
    <n v="25024"/>
    <n v="53258"/>
    <n v="56156"/>
    <n v="133498"/>
    <n v="4449.9333333333334"/>
    <n v="133363"/>
    <n v="4445.4333333333334"/>
    <n v="12"/>
    <n v="179"/>
    <n v="133498"/>
    <n v="133363"/>
    <m/>
    <m/>
    <m/>
    <m/>
    <m/>
    <m/>
    <m/>
    <m/>
    <n v="0"/>
    <n v="0"/>
    <n v="0"/>
    <n v="0"/>
    <m/>
    <m/>
    <n v="0"/>
    <n v="0"/>
  </r>
  <r>
    <x v="0"/>
    <s v="Alabama Southern Community College"/>
    <m/>
    <n v="101949"/>
    <x v="8"/>
    <s v="sem"/>
    <s v="sem"/>
    <m/>
    <m/>
    <n v="15953"/>
    <n v="16644"/>
    <n v="7436"/>
    <n v="7840"/>
    <n v="17087"/>
    <n v="16224"/>
    <n v="40476"/>
    <n v="1349.2"/>
    <n v="40708"/>
    <n v="1356.9333333333334"/>
    <n v="814"/>
    <n v="838"/>
    <n v="40476"/>
    <n v="40708"/>
    <m/>
    <m/>
    <m/>
    <m/>
    <m/>
    <m/>
    <m/>
    <m/>
    <n v="0"/>
    <n v="0"/>
    <n v="0"/>
    <n v="0"/>
    <m/>
    <m/>
    <n v="0"/>
    <n v="0"/>
  </r>
  <r>
    <x v="0"/>
    <s v="Chattahoochee Valley State Community College "/>
    <m/>
    <n v="101028"/>
    <x v="8"/>
    <s v="sem"/>
    <s v="sem"/>
    <m/>
    <m/>
    <n v="17953"/>
    <n v="17390"/>
    <n v="7761"/>
    <n v="7473"/>
    <n v="17480"/>
    <n v="17305"/>
    <n v="43194"/>
    <n v="1439.8"/>
    <n v="42168"/>
    <n v="1405.6"/>
    <n v="1078"/>
    <n v="1103"/>
    <n v="43194"/>
    <n v="42168"/>
    <m/>
    <m/>
    <m/>
    <m/>
    <m/>
    <m/>
    <m/>
    <m/>
    <n v="0"/>
    <n v="0"/>
    <n v="0"/>
    <n v="0"/>
    <m/>
    <m/>
    <n v="0"/>
    <n v="0"/>
  </r>
  <r>
    <x v="0"/>
    <s v="George Corley Wallace State Community College - Selma"/>
    <s v="Met the criteria for Two-Year 2 in 2011-12."/>
    <n v="101301"/>
    <x v="8"/>
    <s v="sem"/>
    <s v="sem"/>
    <m/>
    <m/>
    <n v="21205"/>
    <n v="20969"/>
    <n v="15885"/>
    <n v="17749"/>
    <n v="22777"/>
    <n v="22129"/>
    <n v="59867"/>
    <n v="1995.5666666666666"/>
    <n v="60847"/>
    <n v="2028.2333333333333"/>
    <n v="2119"/>
    <n v="3352"/>
    <n v="59867"/>
    <n v="60847"/>
    <m/>
    <m/>
    <m/>
    <m/>
    <m/>
    <m/>
    <m/>
    <m/>
    <n v="0"/>
    <n v="0"/>
    <n v="0"/>
    <n v="0"/>
    <m/>
    <m/>
    <n v="0"/>
    <n v="0"/>
  </r>
  <r>
    <x v="0"/>
    <s v="Jefferson Davis Community College"/>
    <m/>
    <n v="101499"/>
    <x v="8"/>
    <s v="sem"/>
    <s v="sem"/>
    <m/>
    <m/>
    <n v="14715"/>
    <n v="13054"/>
    <n v="7053"/>
    <n v="6189"/>
    <n v="13556"/>
    <n v="13058"/>
    <n v="35324"/>
    <n v="1177.4666666666667"/>
    <n v="32301"/>
    <n v="1076.7"/>
    <n v="643"/>
    <n v="335"/>
    <n v="35324"/>
    <n v="32301"/>
    <m/>
    <m/>
    <m/>
    <m/>
    <m/>
    <m/>
    <m/>
    <m/>
    <n v="0"/>
    <n v="0"/>
    <n v="0"/>
    <n v="0"/>
    <m/>
    <m/>
    <n v="0"/>
    <n v="0"/>
  </r>
  <r>
    <x v="0"/>
    <s v="Lurleen B. Wallace Community College "/>
    <m/>
    <n v="101602"/>
    <x v="8"/>
    <s v="sem"/>
    <s v="sem"/>
    <m/>
    <m/>
    <n v="18785"/>
    <n v="18987"/>
    <n v="11176"/>
    <n v="9795"/>
    <n v="20634"/>
    <n v="18627"/>
    <n v="50595"/>
    <n v="1686.5"/>
    <n v="47409"/>
    <n v="1580.3"/>
    <n v="1623"/>
    <n v="1806"/>
    <n v="50595"/>
    <n v="47409"/>
    <m/>
    <m/>
    <m/>
    <m/>
    <m/>
    <m/>
    <m/>
    <m/>
    <n v="0"/>
    <n v="0"/>
    <n v="0"/>
    <n v="0"/>
    <m/>
    <m/>
    <n v="0"/>
    <n v="0"/>
  </r>
  <r>
    <x v="0"/>
    <s v="Snead State Community College "/>
    <m/>
    <n v="102076"/>
    <x v="8"/>
    <s v="sem"/>
    <s v="sem"/>
    <m/>
    <m/>
    <n v="25669"/>
    <n v="24519"/>
    <n v="11078"/>
    <n v="9191"/>
    <n v="26557"/>
    <n v="26027"/>
    <n v="63304"/>
    <n v="2110.1333333333332"/>
    <n v="59737"/>
    <n v="1991.2333333333333"/>
    <n v="2113"/>
    <n v="1619"/>
    <n v="63304"/>
    <n v="59737"/>
    <m/>
    <m/>
    <m/>
    <m/>
    <m/>
    <m/>
    <m/>
    <m/>
    <n v="0"/>
    <n v="0"/>
    <n v="0"/>
    <n v="0"/>
    <m/>
    <m/>
    <n v="0"/>
    <n v="0"/>
  </r>
  <r>
    <x v="0"/>
    <s v="Trenholm State Technical College "/>
    <m/>
    <n v="102313"/>
    <x v="9"/>
    <s v="sem"/>
    <s v="sem"/>
    <m/>
    <m/>
    <n v="18387"/>
    <n v="18967"/>
    <n v="12912"/>
    <n v="12725"/>
    <n v="18418"/>
    <n v="17810"/>
    <n v="49717"/>
    <n v="1657.2333333333333"/>
    <n v="49502"/>
    <n v="1650.0666666666666"/>
    <n v="39"/>
    <n v="93"/>
    <n v="49717"/>
    <n v="49502"/>
    <m/>
    <m/>
    <m/>
    <m/>
    <m/>
    <m/>
    <m/>
    <m/>
    <n v="0"/>
    <n v="0"/>
    <n v="0"/>
    <n v="0"/>
    <m/>
    <m/>
    <n v="0"/>
    <n v="0"/>
  </r>
  <r>
    <x v="0"/>
    <s v="J.F. Drake State Technical College "/>
    <s v="Met the criteria for Technical Institute 1 in 2010-11 and 2011-12."/>
    <n v="101462"/>
    <x v="10"/>
    <s v="sem"/>
    <s v="sem"/>
    <m/>
    <m/>
    <n v="13300"/>
    <n v="12358"/>
    <n v="7383"/>
    <n v="7822"/>
    <n v="14659"/>
    <n v="11966"/>
    <n v="35342"/>
    <n v="1178.0666666666666"/>
    <n v="32146"/>
    <n v="1071.5333333333333"/>
    <n v="333"/>
    <n v="494"/>
    <n v="35342"/>
    <n v="32146"/>
    <m/>
    <m/>
    <m/>
    <m/>
    <m/>
    <m/>
    <m/>
    <m/>
    <n v="0"/>
    <n v="0"/>
    <n v="0"/>
    <n v="0"/>
    <m/>
    <m/>
    <n v="0"/>
    <n v="0"/>
  </r>
  <r>
    <x v="0"/>
    <s v="J.F. Ingram State Technical College "/>
    <m/>
    <n v="101471"/>
    <x v="10"/>
    <s v="sem"/>
    <s v="sem"/>
    <m/>
    <m/>
    <n v="7288"/>
    <n v="6793"/>
    <n v="6443"/>
    <n v="6510"/>
    <n v="7441"/>
    <n v="6833"/>
    <n v="21172"/>
    <n v="705.73333333333335"/>
    <n v="20136"/>
    <n v="671.2"/>
    <n v="0"/>
    <n v="0"/>
    <n v="21172"/>
    <n v="20136"/>
    <m/>
    <m/>
    <m/>
    <m/>
    <m/>
    <m/>
    <m/>
    <m/>
    <n v="0"/>
    <n v="0"/>
    <n v="0"/>
    <n v="0"/>
    <m/>
    <m/>
    <n v="0"/>
    <n v="0"/>
  </r>
  <r>
    <x v="0"/>
    <s v="Reid State Technical College "/>
    <m/>
    <n v="101994"/>
    <x v="10"/>
    <s v="sem"/>
    <s v="sem"/>
    <m/>
    <m/>
    <n v="8904"/>
    <n v="8016"/>
    <n v="5497"/>
    <n v="5670"/>
    <n v="8420"/>
    <n v="8087"/>
    <n v="22821"/>
    <n v="760.7"/>
    <n v="21773"/>
    <n v="725.76666666666665"/>
    <n v="921"/>
    <n v="1072"/>
    <n v="22821"/>
    <n v="21773"/>
    <m/>
    <m/>
    <m/>
    <m/>
    <m/>
    <m/>
    <m/>
    <m/>
    <n v="0"/>
    <n v="0"/>
    <n v="0"/>
    <n v="0"/>
    <m/>
    <m/>
    <n v="0"/>
    <n v="0"/>
  </r>
  <r>
    <x v="1"/>
    <s v="University of Arkansas, Fayetteville"/>
    <m/>
    <n v="106397"/>
    <x v="0"/>
    <s v="sem"/>
    <s v="sem"/>
    <m/>
    <m/>
    <n v="200371"/>
    <n v="223699"/>
    <n v="37721"/>
    <n v="40511"/>
    <n v="235246"/>
    <n v="261683"/>
    <n v="473338"/>
    <n v="15777.933333333332"/>
    <n v="525893"/>
    <n v="17529.766666666666"/>
    <n v="75"/>
    <n v="98"/>
    <n v="473338"/>
    <n v="525893"/>
    <m/>
    <m/>
    <m/>
    <m/>
    <m/>
    <m/>
    <m/>
    <m/>
    <n v="0"/>
    <n v="0"/>
    <n v="0"/>
    <n v="0"/>
    <m/>
    <m/>
    <n v="0"/>
    <n v="0"/>
  </r>
  <r>
    <x v="1"/>
    <s v="Arkansas State University"/>
    <m/>
    <n v="106458"/>
    <x v="2"/>
    <s v="sem"/>
    <s v="sem"/>
    <m/>
    <m/>
    <n v="118835"/>
    <n v="121311"/>
    <n v="22808"/>
    <n v="24842"/>
    <n v="129616"/>
    <n v="130144"/>
    <n v="271259"/>
    <n v="9041.9666666666672"/>
    <n v="276297"/>
    <n v="9209.9"/>
    <n v="4575"/>
    <n v="3258"/>
    <n v="271259"/>
    <n v="276297"/>
    <m/>
    <m/>
    <m/>
    <m/>
    <m/>
    <m/>
    <m/>
    <m/>
    <n v="0"/>
    <n v="0"/>
    <n v="0"/>
    <n v="0"/>
    <m/>
    <m/>
    <n v="0"/>
    <n v="0"/>
  </r>
  <r>
    <x v="1"/>
    <s v="University of Arkansas at Little Rock"/>
    <m/>
    <n v="106245"/>
    <x v="2"/>
    <s v="sem"/>
    <s v="sem"/>
    <m/>
    <m/>
    <n v="98508"/>
    <n v="103304"/>
    <n v="24459"/>
    <n v="23464"/>
    <n v="109976"/>
    <n v="110456"/>
    <n v="232943"/>
    <n v="7764.7666666666664"/>
    <n v="237224"/>
    <n v="7907.4666666666662"/>
    <n v="10313"/>
    <n v="12666"/>
    <n v="232943"/>
    <n v="237224"/>
    <m/>
    <m/>
    <m/>
    <m/>
    <m/>
    <m/>
    <m/>
    <m/>
    <n v="0"/>
    <n v="0"/>
    <n v="0"/>
    <n v="0"/>
    <m/>
    <m/>
    <n v="0"/>
    <n v="0"/>
  </r>
  <r>
    <x v="1"/>
    <s v="University of Central Arkansas "/>
    <m/>
    <n v="106704"/>
    <x v="2"/>
    <s v="sem"/>
    <s v="sem"/>
    <m/>
    <m/>
    <n v="122700"/>
    <n v="120807"/>
    <n v="20026"/>
    <n v="20331"/>
    <n v="131690"/>
    <n v="130896"/>
    <n v="274416"/>
    <n v="9147.2000000000007"/>
    <n v="272034"/>
    <n v="9067.7999999999993"/>
    <n v="5012"/>
    <n v="4001"/>
    <n v="274416"/>
    <n v="272034"/>
    <m/>
    <m/>
    <m/>
    <m/>
    <m/>
    <m/>
    <m/>
    <m/>
    <n v="0"/>
    <n v="0"/>
    <n v="0"/>
    <n v="0"/>
    <m/>
    <m/>
    <n v="0"/>
    <n v="0"/>
  </r>
  <r>
    <x v="1"/>
    <s v="Arkansas Tech University"/>
    <s v="Met the criteria for Four-Year 3 in 2010-11 and 2011-12."/>
    <n v="106467"/>
    <x v="3"/>
    <s v="sem"/>
    <s v="sem"/>
    <m/>
    <m/>
    <n v="89852"/>
    <n v="95411"/>
    <n v="16377"/>
    <n v="15748"/>
    <n v="102455"/>
    <n v="107045"/>
    <n v="208684"/>
    <n v="6956.1333333333332"/>
    <n v="218204"/>
    <n v="7273.4666666666662"/>
    <n v="5755"/>
    <n v="6044"/>
    <n v="208684"/>
    <n v="218204"/>
    <m/>
    <m/>
    <m/>
    <m/>
    <m/>
    <m/>
    <m/>
    <m/>
    <n v="0"/>
    <n v="0"/>
    <n v="0"/>
    <n v="0"/>
    <m/>
    <m/>
    <n v="0"/>
    <n v="0"/>
  </r>
  <r>
    <x v="1"/>
    <s v="Henderson State University"/>
    <m/>
    <n v="107071"/>
    <x v="3"/>
    <s v="sem"/>
    <s v="sem"/>
    <m/>
    <m/>
    <n v="39893"/>
    <n v="43590"/>
    <n v="6756"/>
    <n v="7129"/>
    <n v="46686"/>
    <n v="47323"/>
    <n v="93335"/>
    <n v="3111.1666666666665"/>
    <n v="98042"/>
    <n v="3268.0666666666666"/>
    <n v="54"/>
    <n v="30"/>
    <n v="93335"/>
    <n v="98042"/>
    <m/>
    <m/>
    <m/>
    <m/>
    <m/>
    <m/>
    <m/>
    <m/>
    <n v="0"/>
    <n v="0"/>
    <n v="0"/>
    <n v="0"/>
    <m/>
    <m/>
    <n v="0"/>
    <n v="0"/>
  </r>
  <r>
    <x v="1"/>
    <s v="Southern Arkansas University"/>
    <s v="Reclassified: met the criteria for Four-Year 4 in 2009-10, 2010-11 and 2011-12."/>
    <n v="107983"/>
    <x v="3"/>
    <s v="sem"/>
    <s v="sem"/>
    <m/>
    <m/>
    <n v="35388"/>
    <n v="37068"/>
    <n v="5800"/>
    <n v="5367"/>
    <n v="40758"/>
    <n v="41110"/>
    <n v="81946"/>
    <n v="2731.5333333333333"/>
    <n v="83545"/>
    <n v="2784.8333333333335"/>
    <n v="576"/>
    <n v="694"/>
    <n v="81946"/>
    <n v="83545"/>
    <m/>
    <m/>
    <m/>
    <m/>
    <m/>
    <m/>
    <m/>
    <m/>
    <n v="0"/>
    <n v="0"/>
    <n v="0"/>
    <n v="0"/>
    <m/>
    <m/>
    <n v="0"/>
    <n v="0"/>
  </r>
  <r>
    <x v="1"/>
    <s v="University of Arkansas at Monticello"/>
    <m/>
    <n v="106485"/>
    <x v="4"/>
    <s v="sem"/>
    <s v="sem"/>
    <m/>
    <m/>
    <n v="30800"/>
    <n v="30307"/>
    <n v="6544"/>
    <n v="6430"/>
    <n v="33249"/>
    <n v="35265"/>
    <n v="70593"/>
    <n v="2353.1"/>
    <n v="72002"/>
    <n v="2400.0666666666666"/>
    <n v="3269"/>
    <n v="3921"/>
    <n v="70593"/>
    <n v="72002"/>
    <m/>
    <m/>
    <m/>
    <m/>
    <m/>
    <m/>
    <m/>
    <m/>
    <n v="0"/>
    <n v="0"/>
    <n v="0"/>
    <n v="0"/>
    <m/>
    <m/>
    <n v="0"/>
    <n v="0"/>
  </r>
  <r>
    <x v="1"/>
    <s v="University of Arkansas at Fort Smith"/>
    <m/>
    <n v="108092"/>
    <x v="5"/>
    <s v="sem"/>
    <s v="sem"/>
    <m/>
    <m/>
    <n v="79705"/>
    <n v="84836"/>
    <n v="18344"/>
    <n v="16516"/>
    <n v="90733"/>
    <n v="90560"/>
    <n v="188782"/>
    <n v="6292.7333333333336"/>
    <n v="191912"/>
    <n v="6397.0666666666666"/>
    <n v="8102"/>
    <n v="8565"/>
    <n v="188782"/>
    <n v="191912"/>
    <m/>
    <m/>
    <m/>
    <m/>
    <m/>
    <m/>
    <m/>
    <m/>
    <n v="0"/>
    <n v="0"/>
    <n v="0"/>
    <n v="0"/>
    <m/>
    <m/>
    <n v="0"/>
    <n v="0"/>
  </r>
  <r>
    <x v="1"/>
    <s v="University of Arkansas at Pine Bluff"/>
    <m/>
    <n v="106412"/>
    <x v="5"/>
    <s v="sem"/>
    <s v="sem"/>
    <m/>
    <m/>
    <n v="44399"/>
    <n v="39816"/>
    <n v="5639"/>
    <n v="6408"/>
    <n v="45432"/>
    <n v="42531"/>
    <n v="95470"/>
    <n v="3182.3333333333335"/>
    <n v="88755"/>
    <n v="2958.5"/>
    <n v="3"/>
    <n v="9"/>
    <n v="95470"/>
    <n v="88755"/>
    <m/>
    <m/>
    <m/>
    <m/>
    <m/>
    <m/>
    <m/>
    <m/>
    <n v="0"/>
    <n v="0"/>
    <n v="0"/>
    <n v="0"/>
    <m/>
    <m/>
    <n v="0"/>
    <n v="0"/>
  </r>
  <r>
    <x v="1"/>
    <s v="Northwest Arkansas Community College "/>
    <s v="Reclassified: Met the criteria for Two-Year 1 in 2009-10, 2010-11 and 2011-12."/>
    <n v="367459"/>
    <x v="6"/>
    <s v="sem"/>
    <s v="sem"/>
    <m/>
    <m/>
    <n v="73933"/>
    <n v="75886"/>
    <n v="18190"/>
    <n v="18386"/>
    <n v="78964"/>
    <n v="79801"/>
    <n v="171087"/>
    <n v="5702.9"/>
    <n v="174073"/>
    <n v="5802.4333333333334"/>
    <n v="5933"/>
    <n v="5733"/>
    <n v="171087"/>
    <n v="174073"/>
    <m/>
    <m/>
    <m/>
    <m/>
    <m/>
    <m/>
    <m/>
    <m/>
    <n v="0"/>
    <n v="0"/>
    <n v="0"/>
    <n v="0"/>
    <m/>
    <m/>
    <n v="0"/>
    <n v="0"/>
  </r>
  <r>
    <x v="1"/>
    <s v="Pulaski Technical College"/>
    <m/>
    <n v="107664"/>
    <x v="6"/>
    <s v="sem"/>
    <s v="sem"/>
    <m/>
    <m/>
    <n v="110579"/>
    <n v="114525"/>
    <n v="23839"/>
    <n v="27409"/>
    <n v="111678"/>
    <n v="119737"/>
    <n v="246096"/>
    <n v="8203.2000000000007"/>
    <n v="261671"/>
    <n v="8722.3666666666668"/>
    <n v="3357"/>
    <n v="3065"/>
    <n v="246096"/>
    <n v="261671"/>
    <m/>
    <m/>
    <m/>
    <m/>
    <m/>
    <m/>
    <m/>
    <m/>
    <n v="0"/>
    <n v="0"/>
    <n v="0"/>
    <n v="0"/>
    <m/>
    <m/>
    <n v="0"/>
    <n v="0"/>
  </r>
  <r>
    <x v="1"/>
    <s v="Arkansas State University-Beebe"/>
    <m/>
    <n v="106449"/>
    <x v="7"/>
    <s v="sem"/>
    <s v="sem"/>
    <m/>
    <m/>
    <n v="46524"/>
    <n v="47248"/>
    <n v="10140"/>
    <n v="10143"/>
    <n v="49556"/>
    <n v="48848"/>
    <n v="106220"/>
    <n v="3540.6666666666665"/>
    <n v="106239"/>
    <n v="3541.3"/>
    <n v="6439"/>
    <n v="6943"/>
    <n v="106220"/>
    <n v="106239"/>
    <m/>
    <m/>
    <m/>
    <m/>
    <m/>
    <m/>
    <m/>
    <m/>
    <n v="0"/>
    <n v="0"/>
    <n v="0"/>
    <n v="0"/>
    <m/>
    <m/>
    <n v="0"/>
    <n v="0"/>
  </r>
  <r>
    <x v="1"/>
    <s v="National Park Community College"/>
    <m/>
    <n v="106980"/>
    <x v="7"/>
    <s v="sem"/>
    <s v="sem"/>
    <m/>
    <m/>
    <n v="40114"/>
    <n v="37006"/>
    <n v="9628"/>
    <n v="8939"/>
    <n v="37094"/>
    <n v="40731"/>
    <n v="86836"/>
    <n v="2894.5333333333333"/>
    <n v="86676"/>
    <n v="2889.2"/>
    <n v="3954"/>
    <n v="5730"/>
    <n v="86836"/>
    <n v="86676"/>
    <m/>
    <m/>
    <m/>
    <m/>
    <m/>
    <m/>
    <m/>
    <m/>
    <n v="0"/>
    <n v="0"/>
    <n v="0"/>
    <n v="0"/>
    <m/>
    <m/>
    <n v="0"/>
    <n v="0"/>
  </r>
  <r>
    <x v="1"/>
    <s v="Arkansas Northeastern College"/>
    <m/>
    <n v="107327"/>
    <x v="8"/>
    <s v="sem"/>
    <s v="sem"/>
    <m/>
    <m/>
    <n v="19336"/>
    <n v="18136"/>
    <n v="5809"/>
    <n v="4353"/>
    <n v="20042"/>
    <n v="18526"/>
    <n v="45187"/>
    <n v="1506.2333333333333"/>
    <n v="41015"/>
    <n v="1367.1666666666667"/>
    <n v="1487"/>
    <n v="1315"/>
    <n v="45187"/>
    <n v="41015"/>
    <m/>
    <m/>
    <m/>
    <m/>
    <m/>
    <m/>
    <m/>
    <m/>
    <n v="0"/>
    <n v="0"/>
    <n v="0"/>
    <n v="0"/>
    <m/>
    <m/>
    <n v="0"/>
    <n v="0"/>
  </r>
  <r>
    <x v="1"/>
    <s v="Arkansas State University Mountain Home"/>
    <m/>
    <n v="420538"/>
    <x v="8"/>
    <s v="sem"/>
    <s v="sem"/>
    <m/>
    <m/>
    <n v="16202"/>
    <n v="15864"/>
    <n v="3841"/>
    <n v="3293"/>
    <n v="17499"/>
    <n v="16415"/>
    <n v="37542"/>
    <n v="1251.4000000000001"/>
    <n v="35572"/>
    <n v="1185.7333333333333"/>
    <n v="507"/>
    <n v="535"/>
    <n v="37542"/>
    <n v="35572"/>
    <m/>
    <m/>
    <m/>
    <m/>
    <m/>
    <m/>
    <m/>
    <m/>
    <n v="0"/>
    <n v="0"/>
    <n v="0"/>
    <n v="0"/>
    <m/>
    <m/>
    <n v="0"/>
    <n v="0"/>
  </r>
  <r>
    <x v="1"/>
    <s v="Arkansas State University-Newport"/>
    <m/>
    <n v="440402"/>
    <x v="8"/>
    <s v="sem"/>
    <s v="sem"/>
    <m/>
    <m/>
    <n v="18878"/>
    <n v="17811"/>
    <n v="8030"/>
    <n v="7597"/>
    <n v="19850"/>
    <n v="18807"/>
    <n v="46758"/>
    <n v="1558.6"/>
    <n v="44215"/>
    <n v="1473.8333333333333"/>
    <n v="5794"/>
    <n v="5458"/>
    <n v="46758"/>
    <n v="44215"/>
    <m/>
    <m/>
    <m/>
    <m/>
    <m/>
    <m/>
    <m/>
    <m/>
    <n v="0"/>
    <n v="0"/>
    <n v="0"/>
    <n v="0"/>
    <m/>
    <m/>
    <n v="0"/>
    <n v="0"/>
  </r>
  <r>
    <x v="1"/>
    <s v="Black River Technical College"/>
    <s v="Met the criteria for Two-Year 2 in 2010-11 and 2011-12."/>
    <n v="106625"/>
    <x v="8"/>
    <s v="sem"/>
    <s v="sem"/>
    <m/>
    <m/>
    <n v="25597"/>
    <n v="28142"/>
    <n v="6917"/>
    <n v="6566"/>
    <n v="28148"/>
    <n v="28259"/>
    <n v="60662"/>
    <n v="2022.0666666666666"/>
    <n v="62967"/>
    <n v="2098.9"/>
    <n v="2168"/>
    <n v="2331"/>
    <n v="60662"/>
    <n v="62967"/>
    <m/>
    <m/>
    <m/>
    <m/>
    <m/>
    <m/>
    <m/>
    <m/>
    <n v="0"/>
    <n v="0"/>
    <n v="0"/>
    <n v="0"/>
    <m/>
    <m/>
    <n v="0"/>
    <n v="0"/>
  </r>
  <r>
    <x v="1"/>
    <s v="College of the Ouachitas"/>
    <s v="Formerly Ouachita Technical College."/>
    <n v="107521"/>
    <x v="8"/>
    <s v="sem"/>
    <s v="sem"/>
    <m/>
    <m/>
    <n v="12535"/>
    <n v="13485"/>
    <n v="2483"/>
    <n v="2590"/>
    <n v="13735"/>
    <n v="13181"/>
    <n v="28753"/>
    <n v="958.43333333333328"/>
    <n v="29256"/>
    <n v="975.2"/>
    <n v="4493"/>
    <n v="5560"/>
    <n v="28753"/>
    <n v="29256"/>
    <m/>
    <m/>
    <m/>
    <m/>
    <m/>
    <m/>
    <m/>
    <m/>
    <n v="0"/>
    <n v="0"/>
    <n v="0"/>
    <n v="0"/>
    <m/>
    <m/>
    <n v="0"/>
    <n v="0"/>
  </r>
  <r>
    <x v="1"/>
    <s v="Cossatot Community College of the University of Arkansas"/>
    <m/>
    <n v="106795"/>
    <x v="8"/>
    <s v="sem"/>
    <s v="sem"/>
    <m/>
    <m/>
    <n v="13458"/>
    <n v="14067"/>
    <n v="4264"/>
    <n v="3942"/>
    <n v="14480"/>
    <n v="13642"/>
    <n v="32202"/>
    <n v="1073.4000000000001"/>
    <n v="31651"/>
    <n v="1055.0333333333333"/>
    <n v="3338"/>
    <n v="3366"/>
    <n v="32202"/>
    <n v="31651"/>
    <m/>
    <m/>
    <m/>
    <m/>
    <m/>
    <m/>
    <m/>
    <m/>
    <n v="0"/>
    <n v="0"/>
    <n v="0"/>
    <n v="0"/>
    <m/>
    <m/>
    <n v="0"/>
    <n v="0"/>
  </r>
  <r>
    <x v="1"/>
    <s v="East Arkansas Community College "/>
    <m/>
    <n v="106883"/>
    <x v="8"/>
    <s v="sem"/>
    <s v="sem"/>
    <m/>
    <m/>
    <n v="14103"/>
    <n v="12789"/>
    <n v="4552"/>
    <n v="4393"/>
    <n v="13460"/>
    <n v="12236"/>
    <n v="32115"/>
    <n v="1070.5"/>
    <n v="29418"/>
    <n v="980.6"/>
    <n v="967"/>
    <n v="1021"/>
    <n v="32115"/>
    <n v="29418"/>
    <m/>
    <m/>
    <m/>
    <m/>
    <m/>
    <m/>
    <m/>
    <m/>
    <n v="0"/>
    <n v="0"/>
    <n v="0"/>
    <n v="0"/>
    <m/>
    <m/>
    <n v="0"/>
    <n v="0"/>
  </r>
  <r>
    <x v="1"/>
    <s v="Mid-South Community College "/>
    <m/>
    <n v="107318"/>
    <x v="8"/>
    <s v="sem"/>
    <s v="sem"/>
    <m/>
    <m/>
    <n v="17891"/>
    <n v="16776"/>
    <n v="4904"/>
    <n v="3003"/>
    <n v="20720"/>
    <n v="18875"/>
    <n v="43515"/>
    <n v="1450.5"/>
    <n v="38654"/>
    <n v="1288.4666666666667"/>
    <n v="3764"/>
    <n v="4612"/>
    <n v="43515"/>
    <n v="38654"/>
    <m/>
    <m/>
    <m/>
    <m/>
    <m/>
    <m/>
    <m/>
    <m/>
    <n v="0"/>
    <n v="0"/>
    <n v="0"/>
    <n v="0"/>
    <m/>
    <m/>
    <n v="0"/>
    <n v="0"/>
  </r>
  <r>
    <x v="1"/>
    <s v="North Arkansas College"/>
    <m/>
    <n v="107460"/>
    <x v="8"/>
    <s v="sem"/>
    <s v="sem"/>
    <m/>
    <m/>
    <n v="25603"/>
    <n v="26346"/>
    <n v="3878"/>
    <n v="4023"/>
    <n v="27432"/>
    <n v="25954"/>
    <n v="56913"/>
    <n v="1897.1"/>
    <n v="56323"/>
    <n v="1877.4333333333334"/>
    <n v="2086"/>
    <n v="1896"/>
    <n v="56913"/>
    <n v="56323"/>
    <m/>
    <m/>
    <m/>
    <m/>
    <m/>
    <m/>
    <m/>
    <m/>
    <n v="0"/>
    <n v="0"/>
    <n v="0"/>
    <n v="0"/>
    <m/>
    <m/>
    <n v="0"/>
    <n v="0"/>
  </r>
  <r>
    <x v="1"/>
    <s v="Ozarka College "/>
    <m/>
    <n v="107549"/>
    <x v="8"/>
    <s v="sem"/>
    <s v="sem"/>
    <m/>
    <m/>
    <n v="13868"/>
    <n v="17413"/>
    <n v="3247"/>
    <n v="3965"/>
    <n v="16775"/>
    <n v="17576"/>
    <n v="33890"/>
    <n v="1129.6666666666667"/>
    <n v="38954"/>
    <n v="1298.4666666666667"/>
    <n v="1359"/>
    <n v="1257"/>
    <n v="33890"/>
    <n v="38954"/>
    <m/>
    <m/>
    <m/>
    <m/>
    <m/>
    <m/>
    <m/>
    <m/>
    <n v="0"/>
    <n v="0"/>
    <n v="0"/>
    <n v="0"/>
    <m/>
    <m/>
    <n v="0"/>
    <n v="0"/>
  </r>
  <r>
    <x v="1"/>
    <s v="Phillips Community College of the Univ of Arkansas"/>
    <m/>
    <n v="107619"/>
    <x v="8"/>
    <s v="sem"/>
    <s v="sem"/>
    <m/>
    <m/>
    <n v="18463"/>
    <n v="17287"/>
    <n v="3749"/>
    <n v="3844"/>
    <n v="19205"/>
    <n v="18885"/>
    <n v="41417"/>
    <n v="1380.5666666666666"/>
    <n v="40016"/>
    <n v="1333.8666666666666"/>
    <n v="5611"/>
    <n v="6604"/>
    <n v="41417"/>
    <n v="40016"/>
    <m/>
    <m/>
    <m/>
    <m/>
    <m/>
    <m/>
    <m/>
    <m/>
    <n v="0"/>
    <n v="0"/>
    <n v="0"/>
    <n v="0"/>
    <m/>
    <m/>
    <n v="0"/>
    <n v="0"/>
  </r>
  <r>
    <x v="1"/>
    <s v="Rich Mountain Community College "/>
    <m/>
    <n v="107743"/>
    <x v="8"/>
    <s v="sem"/>
    <s v="sem"/>
    <m/>
    <m/>
    <n v="9167"/>
    <n v="9605"/>
    <n v="1406"/>
    <n v="1459"/>
    <n v="9539"/>
    <n v="9769"/>
    <n v="20112"/>
    <n v="670.4"/>
    <n v="20833"/>
    <n v="694.43333333333328"/>
    <n v="2569"/>
    <n v="2683"/>
    <n v="20112"/>
    <n v="20833"/>
    <m/>
    <m/>
    <m/>
    <m/>
    <m/>
    <m/>
    <m/>
    <m/>
    <n v="0"/>
    <n v="0"/>
    <n v="0"/>
    <n v="0"/>
    <m/>
    <m/>
    <n v="0"/>
    <n v="0"/>
  </r>
  <r>
    <x v="1"/>
    <s v="South Arkansas Community College"/>
    <m/>
    <n v="107974"/>
    <x v="8"/>
    <s v="sem"/>
    <s v="sem"/>
    <m/>
    <m/>
    <n v="17189"/>
    <n v="17047"/>
    <n v="6603"/>
    <n v="7185"/>
    <n v="17039"/>
    <n v="17513"/>
    <n v="40831"/>
    <n v="1361.0333333333333"/>
    <n v="41745"/>
    <n v="1391.5"/>
    <n v="2371"/>
    <n v="2397"/>
    <n v="40831"/>
    <n v="41745"/>
    <m/>
    <m/>
    <m/>
    <m/>
    <m/>
    <m/>
    <m/>
    <m/>
    <n v="0"/>
    <n v="0"/>
    <n v="0"/>
    <n v="0"/>
    <m/>
    <m/>
    <n v="0"/>
    <n v="0"/>
  </r>
  <r>
    <x v="1"/>
    <s v="Southeast Arkansas College"/>
    <m/>
    <n v="107637"/>
    <x v="8"/>
    <s v="sem"/>
    <s v="sem"/>
    <m/>
    <m/>
    <n v="20837"/>
    <n v="19519"/>
    <n v="6763"/>
    <n v="6006"/>
    <n v="20963"/>
    <n v="21344"/>
    <n v="48563"/>
    <n v="1618.7666666666667"/>
    <n v="46869"/>
    <n v="1562.3"/>
    <n v="978"/>
    <n v="2111"/>
    <n v="48563"/>
    <n v="46869"/>
    <m/>
    <m/>
    <m/>
    <m/>
    <m/>
    <m/>
    <m/>
    <m/>
    <n v="0"/>
    <n v="0"/>
    <n v="0"/>
    <n v="0"/>
    <m/>
    <m/>
    <n v="0"/>
    <n v="0"/>
  </r>
  <r>
    <x v="1"/>
    <s v="Southern Arkansas University Tech"/>
    <m/>
    <n v="107992"/>
    <x v="8"/>
    <s v="sem"/>
    <s v="sem"/>
    <m/>
    <m/>
    <n v="17923"/>
    <n v="18874"/>
    <n v="5092"/>
    <n v="5377"/>
    <n v="16243"/>
    <n v="18006"/>
    <n v="39258"/>
    <n v="1308.5999999999999"/>
    <n v="42257"/>
    <n v="1408.5666666666666"/>
    <n v="8380"/>
    <n v="10801"/>
    <n v="39258"/>
    <n v="42257"/>
    <m/>
    <m/>
    <m/>
    <m/>
    <m/>
    <m/>
    <m/>
    <m/>
    <n v="0"/>
    <n v="0"/>
    <n v="0"/>
    <n v="0"/>
    <m/>
    <m/>
    <n v="0"/>
    <n v="0"/>
  </r>
  <r>
    <x v="1"/>
    <s v="University of Arkansas Community College at Batesville"/>
    <m/>
    <n v="106999"/>
    <x v="8"/>
    <s v="sem"/>
    <s v="sem"/>
    <m/>
    <m/>
    <n v="18869"/>
    <n v="18090"/>
    <n v="4055"/>
    <n v="3530"/>
    <n v="18553"/>
    <n v="17005"/>
    <n v="41477"/>
    <n v="1382.5666666666666"/>
    <n v="38625"/>
    <n v="1287.5"/>
    <n v="799"/>
    <n v="924"/>
    <n v="41477"/>
    <n v="38625"/>
    <m/>
    <m/>
    <m/>
    <m/>
    <m/>
    <m/>
    <m/>
    <m/>
    <n v="0"/>
    <n v="0"/>
    <n v="0"/>
    <n v="0"/>
    <m/>
    <m/>
    <n v="0"/>
    <n v="0"/>
  </r>
  <r>
    <x v="1"/>
    <s v="University of Arkansas Community College at Hope"/>
    <m/>
    <n v="107725"/>
    <x v="8"/>
    <s v="sem"/>
    <s v="sem"/>
    <m/>
    <m/>
    <n v="15148"/>
    <n v="14520"/>
    <n v="3265"/>
    <n v="2923"/>
    <n v="16164"/>
    <n v="14038"/>
    <n v="34577"/>
    <n v="1152.5666666666666"/>
    <n v="31481"/>
    <n v="1049.3666666666666"/>
    <n v="1472"/>
    <n v="1664"/>
    <n v="34577"/>
    <n v="31481"/>
    <m/>
    <m/>
    <m/>
    <m/>
    <m/>
    <m/>
    <m/>
    <m/>
    <n v="0"/>
    <n v="0"/>
    <n v="0"/>
    <n v="0"/>
    <m/>
    <m/>
    <n v="0"/>
    <n v="0"/>
  </r>
  <r>
    <x v="1"/>
    <s v="University of Arkansas Community College at Morrilton"/>
    <m/>
    <n v="107585"/>
    <x v="8"/>
    <s v="sem"/>
    <s v="sem"/>
    <m/>
    <m/>
    <n v="25700"/>
    <n v="26522"/>
    <n v="4366"/>
    <n v="4261"/>
    <n v="28590"/>
    <n v="27158"/>
    <n v="58656"/>
    <n v="1955.2"/>
    <n v="57941"/>
    <n v="1931.3666666666666"/>
    <n v="536"/>
    <n v="545"/>
    <n v="58656"/>
    <n v="57941"/>
    <m/>
    <m/>
    <m/>
    <m/>
    <m/>
    <m/>
    <m/>
    <m/>
    <n v="0"/>
    <n v="0"/>
    <n v="0"/>
    <n v="0"/>
    <m/>
    <m/>
    <n v="0"/>
    <n v="0"/>
  </r>
  <r>
    <x v="2"/>
    <s v="University of Delaware"/>
    <m/>
    <n v="130943"/>
    <x v="0"/>
    <s v="sem"/>
    <s v="sem"/>
    <n v="32952"/>
    <n v="32358"/>
    <n v="226848"/>
    <n v="227549"/>
    <n v="15682"/>
    <n v="14925"/>
    <n v="244063"/>
    <n v="250767"/>
    <n v="519545"/>
    <n v="17318.166666666668"/>
    <n v="525599"/>
    <n v="17519.966666666667"/>
    <n v="1917"/>
    <m/>
    <n v="519545"/>
    <n v="0"/>
    <m/>
    <m/>
    <m/>
    <m/>
    <m/>
    <m/>
    <m/>
    <m/>
    <n v="0"/>
    <n v="0"/>
    <n v="0"/>
    <n v="0"/>
    <m/>
    <m/>
    <n v="0"/>
    <n v="0"/>
  </r>
  <r>
    <x v="2"/>
    <s v="Delaware State University"/>
    <s v="Met the criteria for Four-Year 3 in 2010-11 and 2011-12."/>
    <n v="130934"/>
    <x v="3"/>
    <s v="sem"/>
    <s v="sem"/>
    <m/>
    <m/>
    <n v="44478"/>
    <n v="43388"/>
    <n v="5238"/>
    <n v="4723"/>
    <n v="49868"/>
    <n v="55120"/>
    <n v="99584"/>
    <n v="3319.4666666666667"/>
    <n v="103231"/>
    <n v="3441.0333333333333"/>
    <n v="180"/>
    <m/>
    <n v="99584"/>
    <n v="0"/>
    <m/>
    <m/>
    <m/>
    <m/>
    <m/>
    <m/>
    <m/>
    <m/>
    <n v="0"/>
    <n v="0"/>
    <n v="0"/>
    <n v="0"/>
    <m/>
    <m/>
    <n v="0"/>
    <n v="0"/>
  </r>
  <r>
    <x v="2"/>
    <s v="Delaware Technical and Community College--Stanton-Wilmington"/>
    <s v="Reclassified: Met the criteria for Two-Year 1 in 2009-10, 2010-11 and 2011-12."/>
    <n v="130916"/>
    <x v="6"/>
    <s v="sem"/>
    <s v="sem"/>
    <m/>
    <m/>
    <n v="69335"/>
    <n v="67910"/>
    <n v="18915"/>
    <n v="18232"/>
    <n v="74440"/>
    <n v="71610"/>
    <n v="162690"/>
    <n v="5423"/>
    <n v="157752"/>
    <n v="5258.4"/>
    <n v="547"/>
    <m/>
    <n v="162690"/>
    <n v="0"/>
    <m/>
    <m/>
    <m/>
    <m/>
    <m/>
    <m/>
    <m/>
    <m/>
    <n v="0"/>
    <n v="0"/>
    <n v="0"/>
    <n v="0"/>
    <m/>
    <m/>
    <n v="0"/>
    <n v="0"/>
  </r>
  <r>
    <x v="2"/>
    <s v="Delaware Technical and Community College--Owens"/>
    <m/>
    <n v="130891"/>
    <x v="7"/>
    <s v="sem"/>
    <s v="sem"/>
    <m/>
    <m/>
    <n v="45810"/>
    <n v="46550"/>
    <n v="8853"/>
    <n v="8819"/>
    <n v="51801"/>
    <n v="48806"/>
    <n v="106464"/>
    <n v="3548.8"/>
    <n v="104175"/>
    <n v="3472.5"/>
    <n v="230"/>
    <m/>
    <n v="106464"/>
    <n v="0"/>
    <m/>
    <m/>
    <m/>
    <m/>
    <m/>
    <m/>
    <m/>
    <m/>
    <n v="0"/>
    <n v="0"/>
    <n v="0"/>
    <n v="0"/>
    <m/>
    <m/>
    <n v="0"/>
    <n v="0"/>
  </r>
  <r>
    <x v="2"/>
    <s v="Delaware Technical and Community College--Terry"/>
    <m/>
    <n v="130907"/>
    <x v="7"/>
    <s v="sem"/>
    <s v="sem"/>
    <m/>
    <m/>
    <n v="31963"/>
    <n v="32418"/>
    <n v="8489"/>
    <n v="8310"/>
    <n v="33893"/>
    <n v="33865"/>
    <n v="74345"/>
    <n v="2478.1666666666665"/>
    <n v="74593"/>
    <n v="2486.4333333333334"/>
    <n v="237"/>
    <m/>
    <n v="74345"/>
    <n v="0"/>
    <m/>
    <m/>
    <m/>
    <m/>
    <m/>
    <m/>
    <m/>
    <m/>
    <n v="0"/>
    <n v="0"/>
    <n v="0"/>
    <n v="0"/>
    <m/>
    <m/>
    <n v="0"/>
    <n v="0"/>
  </r>
  <r>
    <x v="3"/>
    <s v="Florida International University"/>
    <m/>
    <n v="133951"/>
    <x v="0"/>
    <s v="sem"/>
    <s v="sem"/>
    <m/>
    <m/>
    <n v="345363"/>
    <n v="374465"/>
    <n v="168755"/>
    <n v="191233"/>
    <n v="383147"/>
    <n v="414320"/>
    <n v="897265"/>
    <n v="29908.833333333332"/>
    <n v="980018"/>
    <n v="32667.266666666666"/>
    <n v="17394"/>
    <n v="25737"/>
    <n v="897265"/>
    <n v="980018"/>
    <m/>
    <m/>
    <m/>
    <m/>
    <m/>
    <m/>
    <m/>
    <m/>
    <n v="0"/>
    <n v="0"/>
    <n v="0"/>
    <n v="0"/>
    <m/>
    <m/>
    <n v="0"/>
    <n v="0"/>
  </r>
  <r>
    <x v="3"/>
    <s v="Florida State University "/>
    <m/>
    <n v="134097"/>
    <x v="0"/>
    <s v="sem"/>
    <s v="sem"/>
    <m/>
    <m/>
    <n v="390453"/>
    <n v="399536"/>
    <n v="126830"/>
    <n v="130933"/>
    <n v="455014"/>
    <n v="477741"/>
    <n v="972297"/>
    <n v="32409.9"/>
    <n v="1008210"/>
    <n v="33607"/>
    <n v="796"/>
    <n v="467"/>
    <n v="972297"/>
    <n v="1008210"/>
    <m/>
    <m/>
    <m/>
    <m/>
    <m/>
    <m/>
    <m/>
    <m/>
    <n v="0"/>
    <n v="0"/>
    <n v="0"/>
    <n v="0"/>
    <m/>
    <m/>
    <n v="0"/>
    <n v="0"/>
  </r>
  <r>
    <x v="3"/>
    <s v="University of Central Florida "/>
    <m/>
    <n v="132903"/>
    <x v="0"/>
    <s v="sem"/>
    <s v="sem"/>
    <m/>
    <m/>
    <n v="526055"/>
    <n v="550424"/>
    <n v="189272"/>
    <n v="203060"/>
    <n v="566470"/>
    <n v="589882"/>
    <n v="1281797"/>
    <n v="42726.566666666666"/>
    <n v="1343366"/>
    <n v="44778.866666666669"/>
    <n v="453"/>
    <n v="684"/>
    <n v="1281797"/>
    <n v="1343366"/>
    <m/>
    <m/>
    <m/>
    <m/>
    <m/>
    <m/>
    <m/>
    <m/>
    <n v="0"/>
    <n v="0"/>
    <n v="0"/>
    <n v="0"/>
    <m/>
    <m/>
    <n v="0"/>
    <n v="0"/>
  </r>
  <r>
    <x v="3"/>
    <s v="University of Florida"/>
    <m/>
    <n v="134130"/>
    <x v="0"/>
    <s v="sem"/>
    <s v="sem"/>
    <m/>
    <m/>
    <n v="424799"/>
    <n v="420487"/>
    <n v="120231"/>
    <n v="117007"/>
    <n v="438525"/>
    <n v="436376"/>
    <n v="983555"/>
    <n v="32785.166666666664"/>
    <n v="973870"/>
    <n v="32462.333333333332"/>
    <n v="1093"/>
    <n v="1306"/>
    <n v="983555"/>
    <n v="973870"/>
    <m/>
    <m/>
    <m/>
    <m/>
    <m/>
    <m/>
    <m/>
    <m/>
    <n v="0"/>
    <n v="0"/>
    <n v="0"/>
    <n v="0"/>
    <m/>
    <m/>
    <n v="0"/>
    <n v="0"/>
  </r>
  <r>
    <x v="3"/>
    <s v="University of South Florida "/>
    <m/>
    <n v="137351"/>
    <x v="0"/>
    <s v="sem"/>
    <s v="sem"/>
    <m/>
    <m/>
    <n v="407800"/>
    <n v="416310"/>
    <n v="159800"/>
    <n v="157950"/>
    <n v="444053"/>
    <n v="443707"/>
    <n v="1011653"/>
    <n v="33721.76666666667"/>
    <n v="1017967"/>
    <n v="33932.23333333333"/>
    <n v="814"/>
    <n v="657"/>
    <n v="1011653"/>
    <n v="1017967"/>
    <m/>
    <m/>
    <m/>
    <m/>
    <m/>
    <m/>
    <m/>
    <m/>
    <n v="0"/>
    <n v="0"/>
    <n v="0"/>
    <n v="0"/>
    <m/>
    <m/>
    <n v="0"/>
    <n v="0"/>
  </r>
  <r>
    <x v="3"/>
    <s v="Florida Atlantic University "/>
    <m/>
    <n v="133669"/>
    <x v="1"/>
    <s v="sem"/>
    <s v="sem"/>
    <m/>
    <m/>
    <n v="228080"/>
    <n v="236722"/>
    <n v="90787"/>
    <n v="96196"/>
    <n v="251368"/>
    <n v="266759"/>
    <n v="570235"/>
    <n v="19007.833333333332"/>
    <n v="599677"/>
    <n v="19989.233333333334"/>
    <n v="5294"/>
    <n v="6185"/>
    <n v="570235"/>
    <n v="599677"/>
    <m/>
    <m/>
    <m/>
    <m/>
    <m/>
    <m/>
    <m/>
    <m/>
    <n v="0"/>
    <n v="0"/>
    <n v="0"/>
    <n v="0"/>
    <m/>
    <m/>
    <n v="0"/>
    <n v="0"/>
  </r>
  <r>
    <x v="3"/>
    <s v="Florida Agricultural &amp; Mechanical University "/>
    <s v="Met the criteria for Four-Year 2 in 2011-12."/>
    <n v="133650"/>
    <x v="2"/>
    <s v="sem"/>
    <s v="sem"/>
    <m/>
    <m/>
    <n v="130521"/>
    <n v="143196"/>
    <n v="40916"/>
    <n v="29446"/>
    <n v="154324"/>
    <n v="151544"/>
    <n v="325761"/>
    <n v="10858.7"/>
    <n v="324186"/>
    <n v="10806.2"/>
    <n v="262"/>
    <n v="139"/>
    <n v="325761"/>
    <n v="324186"/>
    <m/>
    <m/>
    <m/>
    <m/>
    <m/>
    <m/>
    <m/>
    <m/>
    <n v="0"/>
    <n v="0"/>
    <n v="0"/>
    <n v="0"/>
    <m/>
    <m/>
    <n v="0"/>
    <n v="0"/>
  </r>
  <r>
    <x v="3"/>
    <s v="University of North Florida"/>
    <m/>
    <n v="136172"/>
    <x v="2"/>
    <s v="sem"/>
    <s v="sem"/>
    <m/>
    <m/>
    <n v="155633"/>
    <n v="156495"/>
    <n v="56640"/>
    <n v="57248"/>
    <n v="167587"/>
    <n v="168733"/>
    <n v="379860"/>
    <n v="12662"/>
    <n v="382476"/>
    <n v="12749.2"/>
    <n v="440"/>
    <n v="825"/>
    <n v="379860"/>
    <n v="382476"/>
    <m/>
    <m/>
    <m/>
    <m/>
    <m/>
    <m/>
    <m/>
    <m/>
    <n v="0"/>
    <n v="0"/>
    <n v="0"/>
    <n v="0"/>
    <m/>
    <m/>
    <n v="0"/>
    <n v="0"/>
  </r>
  <r>
    <x v="3"/>
    <s v="University of West Florida"/>
    <m/>
    <n v="138354"/>
    <x v="2"/>
    <s v="sem"/>
    <s v="sem"/>
    <m/>
    <m/>
    <n v="99923"/>
    <n v="103175"/>
    <n v="39168"/>
    <n v="40268"/>
    <n v="108851"/>
    <n v="112277"/>
    <n v="247942"/>
    <n v="8264.7333333333336"/>
    <n v="255720"/>
    <n v="8524"/>
    <n v="505"/>
    <n v="585"/>
    <n v="247942"/>
    <n v="255720"/>
    <m/>
    <m/>
    <m/>
    <m/>
    <m/>
    <m/>
    <m/>
    <m/>
    <n v="0"/>
    <n v="0"/>
    <n v="0"/>
    <n v="0"/>
    <m/>
    <m/>
    <n v="0"/>
    <n v="0"/>
  </r>
  <r>
    <x v="3"/>
    <s v="Florida Gulf Coast University"/>
    <m/>
    <n v="433660"/>
    <x v="3"/>
    <s v="sem"/>
    <s v="sem"/>
    <m/>
    <m/>
    <n v="111465"/>
    <n v="119973"/>
    <n v="27917"/>
    <n v="30408"/>
    <n v="129441"/>
    <n v="138182"/>
    <n v="268823"/>
    <n v="8960.7666666666664"/>
    <n v="288563"/>
    <n v="9618.7666666666664"/>
    <n v="2161"/>
    <n v="2373"/>
    <n v="268823"/>
    <n v="288563"/>
    <m/>
    <m/>
    <m/>
    <m/>
    <m/>
    <m/>
    <m/>
    <m/>
    <n v="0"/>
    <n v="0"/>
    <n v="0"/>
    <n v="0"/>
    <m/>
    <m/>
    <n v="0"/>
    <n v="0"/>
  </r>
  <r>
    <x v="3"/>
    <s v="New College of Florida"/>
    <m/>
    <n v="262129"/>
    <x v="5"/>
    <s v="sem"/>
    <s v="sem"/>
    <m/>
    <m/>
    <n v="12324"/>
    <n v="12144"/>
    <m/>
    <m/>
    <n v="15356"/>
    <n v="16064"/>
    <n v="27680"/>
    <n v="922.66666666666663"/>
    <n v="28208"/>
    <n v="940.26666666666665"/>
    <n v="32"/>
    <m/>
    <n v="27680"/>
    <n v="0"/>
    <m/>
    <m/>
    <m/>
    <m/>
    <m/>
    <m/>
    <m/>
    <m/>
    <n v="0"/>
    <n v="0"/>
    <n v="0"/>
    <n v="0"/>
    <m/>
    <m/>
    <n v="0"/>
    <n v="0"/>
  </r>
  <r>
    <x v="3"/>
    <s v="Chipola College "/>
    <m/>
    <n v="133021"/>
    <x v="11"/>
    <s v="sem"/>
    <s v="sem"/>
    <m/>
    <m/>
    <n v="19621"/>
    <n v="19257"/>
    <n v="5774"/>
    <n v="5980"/>
    <n v="20823"/>
    <n v="20842"/>
    <n v="46218"/>
    <n v="1540.6"/>
    <n v="46079"/>
    <n v="1535.9666666666667"/>
    <n v="4314"/>
    <n v="4503"/>
    <n v="46218"/>
    <n v="46079"/>
    <m/>
    <m/>
    <n v="76667"/>
    <n v="49087"/>
    <n v="26187"/>
    <n v="16451"/>
    <n v="50006"/>
    <n v="46361"/>
    <n v="152860"/>
    <n v="169.84444444444443"/>
    <n v="111899"/>
    <n v="124.33222222222223"/>
    <n v="5098"/>
    <n v="2730"/>
    <n v="152860"/>
    <n v="111899"/>
  </r>
  <r>
    <x v="3"/>
    <s v="Daytona State College "/>
    <m/>
    <n v="133386"/>
    <x v="11"/>
    <s v="sem"/>
    <s v="sem"/>
    <m/>
    <m/>
    <n v="163866"/>
    <n v="168080"/>
    <n v="57758"/>
    <n v="52875"/>
    <n v="182223"/>
    <n v="156632"/>
    <n v="403847"/>
    <n v="13461.566666666668"/>
    <n v="377587"/>
    <n v="12586.233333333334"/>
    <n v="24460"/>
    <n v="24883"/>
    <n v="403847"/>
    <n v="377587"/>
    <m/>
    <m/>
    <n v="1252029"/>
    <n v="1139373"/>
    <n v="701074"/>
    <n v="646883"/>
    <n v="1149397"/>
    <n v="859415"/>
    <n v="3102500"/>
    <n v="3447.2222222222222"/>
    <n v="2645671"/>
    <n v="2939.6344444444444"/>
    <n v="21245"/>
    <n v="5580"/>
    <n v="3102500"/>
    <n v="2645671"/>
  </r>
  <r>
    <x v="3"/>
    <s v="Edison State College "/>
    <m/>
    <n v="133508"/>
    <x v="11"/>
    <s v="sem"/>
    <s v="sem"/>
    <m/>
    <m/>
    <n v="144276"/>
    <n v="150475"/>
    <n v="63562"/>
    <n v="63150"/>
    <n v="153089"/>
    <n v="151732"/>
    <n v="360927"/>
    <n v="12030.9"/>
    <n v="365357"/>
    <n v="12178.566666666668"/>
    <n v="24635"/>
    <n v="26397"/>
    <n v="360927"/>
    <n v="365357"/>
    <m/>
    <m/>
    <n v="16350"/>
    <n v="7020"/>
    <n v="6960"/>
    <n v="11760"/>
    <n v="0"/>
    <n v="4800"/>
    <n v="23310"/>
    <n v="25.9"/>
    <n v="23580"/>
    <n v="26.2"/>
    <n v="0"/>
    <n v="0"/>
    <n v="23310"/>
    <n v="23580"/>
  </r>
  <r>
    <x v="3"/>
    <s v="Florida State College at Jacksonville"/>
    <s v="Reclassified: met the criteria for Two-Year with Bachelor's in 2009-10, 2010-11 and 2011-12."/>
    <n v="133702"/>
    <x v="11"/>
    <s v="sem"/>
    <s v="sem"/>
    <m/>
    <m/>
    <n v="255491"/>
    <n v="265115"/>
    <n v="149257"/>
    <n v="144070"/>
    <n v="263458"/>
    <n v="273768"/>
    <n v="668206"/>
    <n v="22273.533333333333"/>
    <n v="682953"/>
    <n v="22765.1"/>
    <n v="27452"/>
    <n v="31742"/>
    <n v="668206"/>
    <n v="682953"/>
    <m/>
    <m/>
    <n v="3098988"/>
    <n v="990157"/>
    <n v="795151"/>
    <n v="770279"/>
    <n v="980775"/>
    <n v="838246"/>
    <n v="4874914"/>
    <n v="5416.5711111111113"/>
    <n v="2598682"/>
    <n v="2887.4244444444444"/>
    <n v="47225"/>
    <n v="39231"/>
    <n v="4874914"/>
    <n v="2598682"/>
  </r>
  <r>
    <x v="3"/>
    <s v="Indian River State College "/>
    <s v="Reclassified: met the criteria for Two-Year with Bachelor's in 2009-10, 2010-11 and 2011-12."/>
    <n v="134608"/>
    <x v="11"/>
    <s v="sem"/>
    <s v="sem"/>
    <m/>
    <m/>
    <n v="129173"/>
    <n v="133258"/>
    <n v="67980"/>
    <n v="67639"/>
    <n v="137951"/>
    <n v="140421"/>
    <n v="335104"/>
    <n v="11170.133333333333"/>
    <n v="341318"/>
    <n v="11377.266666666666"/>
    <n v="26357"/>
    <n v="31606"/>
    <n v="335104"/>
    <n v="341318"/>
    <m/>
    <m/>
    <n v="1029419"/>
    <n v="933053"/>
    <n v="688420"/>
    <n v="650630"/>
    <n v="966552"/>
    <n v="770013"/>
    <n v="2684391"/>
    <n v="2982.6566666666668"/>
    <n v="2353696"/>
    <n v="2615.2177777777779"/>
    <n v="36540"/>
    <n v="35757"/>
    <n v="2684391"/>
    <n v="2353696"/>
  </r>
  <r>
    <x v="3"/>
    <s v="Miami Dade College "/>
    <m/>
    <n v="135717"/>
    <x v="11"/>
    <s v="sem"/>
    <s v="sem"/>
    <m/>
    <m/>
    <n v="594379"/>
    <n v="639453"/>
    <n v="327880"/>
    <n v="344344"/>
    <n v="649476"/>
    <n v="670327"/>
    <n v="1571735"/>
    <n v="52391.166666666664"/>
    <n v="1654124"/>
    <n v="55137.466666666667"/>
    <n v="23656"/>
    <n v="26532"/>
    <n v="1571735"/>
    <n v="1654124"/>
    <m/>
    <m/>
    <n v="2409438"/>
    <n v="1971917"/>
    <n v="1708241"/>
    <n v="1484804"/>
    <n v="1635756"/>
    <n v="1100943"/>
    <n v="5753435"/>
    <n v="6392.7055555555553"/>
    <n v="4557664"/>
    <n v="5064.0711111111113"/>
    <n v="0"/>
    <n v="0"/>
    <n v="5753435"/>
    <n v="4557664"/>
  </r>
  <r>
    <x v="3"/>
    <s v="Northwest Florida State College"/>
    <m/>
    <n v="136233"/>
    <x v="11"/>
    <s v="sem"/>
    <s v="sem"/>
    <m/>
    <m/>
    <n v="66837"/>
    <n v="67037"/>
    <n v="30825"/>
    <n v="29849"/>
    <n v="69793"/>
    <n v="65510"/>
    <n v="167455"/>
    <n v="5581.833333333333"/>
    <n v="162396"/>
    <n v="5413.2"/>
    <n v="8259"/>
    <n v="8400"/>
    <n v="167455"/>
    <n v="162396"/>
    <m/>
    <m/>
    <n v="138089"/>
    <n v="108168"/>
    <n v="72077"/>
    <n v="63392"/>
    <n v="112161"/>
    <n v="98506"/>
    <n v="322327"/>
    <n v="358.14111111111112"/>
    <n v="270066"/>
    <n v="300.07333333333332"/>
    <n v="0"/>
    <n v="0"/>
    <n v="322327"/>
    <n v="270066"/>
  </r>
  <r>
    <x v="3"/>
    <s v="St. Petersburg College "/>
    <m/>
    <n v="137078"/>
    <x v="11"/>
    <s v="sem"/>
    <s v="sem"/>
    <m/>
    <m/>
    <n v="261163"/>
    <n v="279908"/>
    <n v="105545"/>
    <n v="108608"/>
    <n v="283199"/>
    <n v="291178"/>
    <n v="649907"/>
    <n v="21663.566666666666"/>
    <n v="679694"/>
    <n v="22656.466666666667"/>
    <n v="28756"/>
    <n v="33428"/>
    <n v="649907"/>
    <n v="679694"/>
    <m/>
    <m/>
    <n v="186842"/>
    <n v="59075"/>
    <n v="33009"/>
    <n v="25397"/>
    <n v="37812"/>
    <n v="60834"/>
    <n v="257663"/>
    <n v="286.29222222222222"/>
    <n v="145306"/>
    <n v="161.45111111111112"/>
    <n v="0"/>
    <n v="0"/>
    <n v="257663"/>
    <n v="145306"/>
  </r>
  <r>
    <x v="3"/>
    <s v="Brevard Community College "/>
    <m/>
    <n v="132693"/>
    <x v="6"/>
    <s v="sem"/>
    <s v="sem"/>
    <m/>
    <m/>
    <n v="150968"/>
    <n v="155633"/>
    <n v="54355"/>
    <n v="57150"/>
    <n v="155306"/>
    <n v="160161"/>
    <n v="360629"/>
    <n v="12020.966666666667"/>
    <n v="372944"/>
    <n v="12431.466666666667"/>
    <n v="47421"/>
    <n v="50287"/>
    <n v="360629"/>
    <n v="372944"/>
    <m/>
    <m/>
    <n v="652963"/>
    <n v="705107"/>
    <n v="116120"/>
    <n v="121528"/>
    <n v="436879"/>
    <n v="492401"/>
    <n v="1205962"/>
    <n v="1339.9577777777777"/>
    <n v="1319036"/>
    <n v="1465.5955555555556"/>
    <n v="78773"/>
    <n v="91770"/>
    <n v="1205962"/>
    <n v="1319036"/>
  </r>
  <r>
    <x v="3"/>
    <s v="Broward College "/>
    <s v="Met the criteria for Two-Year with Bachelor's in 2011-12."/>
    <n v="132709"/>
    <x v="6"/>
    <s v="sem"/>
    <s v="sem"/>
    <m/>
    <m/>
    <n v="335337"/>
    <n v="364923"/>
    <n v="176146"/>
    <n v="187684"/>
    <n v="359070"/>
    <n v="369074"/>
    <n v="870553"/>
    <n v="29018.433333333334"/>
    <n v="921681"/>
    <n v="30722.7"/>
    <n v="35215"/>
    <n v="40449"/>
    <n v="870553"/>
    <n v="921681"/>
    <m/>
    <m/>
    <n v="217272"/>
    <n v="147620"/>
    <n v="102783"/>
    <n v="109605"/>
    <n v="148891"/>
    <n v="164154"/>
    <n v="468946"/>
    <n v="521.05111111111114"/>
    <n v="421379"/>
    <n v="468.19888888888892"/>
    <n v="0"/>
    <n v="0"/>
    <n v="468946"/>
    <n v="421379"/>
  </r>
  <r>
    <x v="3"/>
    <s v="College of Central Florida"/>
    <m/>
    <n v="132851"/>
    <x v="6"/>
    <s v="sem"/>
    <s v="sem"/>
    <m/>
    <m/>
    <n v="73568"/>
    <n v="76838"/>
    <n v="27459"/>
    <n v="28700"/>
    <n v="78040"/>
    <n v="78593"/>
    <n v="179067"/>
    <n v="5968.9"/>
    <n v="184131"/>
    <n v="6137.7"/>
    <n v="9998"/>
    <n v="11671"/>
    <n v="179067"/>
    <n v="184131"/>
    <m/>
    <m/>
    <n v="263153"/>
    <n v="190618"/>
    <n v="112056"/>
    <n v="118329"/>
    <n v="172884"/>
    <n v="155787"/>
    <n v="548093"/>
    <n v="608.99222222222227"/>
    <n v="464734"/>
    <n v="516.37111111111108"/>
    <n v="4020"/>
    <n v="1860"/>
    <n v="548093"/>
    <n v="464734"/>
  </r>
  <r>
    <x v="3"/>
    <s v="Hillsborough Community College "/>
    <m/>
    <n v="134495"/>
    <x v="6"/>
    <s v="sem"/>
    <s v="sem"/>
    <m/>
    <m/>
    <n v="245028"/>
    <n v="253680"/>
    <n v="92849"/>
    <n v="94010"/>
    <n v="253264"/>
    <n v="256082"/>
    <n v="591141"/>
    <n v="19704.7"/>
    <n v="603772"/>
    <n v="20125.733333333334"/>
    <n v="11779"/>
    <n v="11877"/>
    <n v="591141"/>
    <n v="603772"/>
    <m/>
    <m/>
    <n v="839851"/>
    <n v="610533"/>
    <n v="95842"/>
    <n v="121009"/>
    <n v="666572"/>
    <n v="632269"/>
    <n v="1602265"/>
    <n v="1780.2944444444445"/>
    <n v="1363811"/>
    <n v="1515.3455555555556"/>
    <n v="0"/>
    <n v="0"/>
    <n v="1602265"/>
    <n v="1363811"/>
  </r>
  <r>
    <x v="3"/>
    <s v="Palm Beach State College "/>
    <s v="Met the criteria for Two-Year with Bachelor's in 2011-12."/>
    <n v="136358"/>
    <x v="6"/>
    <s v="sem"/>
    <s v="sem"/>
    <m/>
    <m/>
    <n v="224696"/>
    <n v="236663"/>
    <n v="94857"/>
    <n v="103022"/>
    <n v="247234"/>
    <n v="252774"/>
    <n v="566787"/>
    <n v="18892.900000000001"/>
    <n v="592459"/>
    <n v="19748.633333333335"/>
    <n v="21439"/>
    <n v="25471"/>
    <n v="566787"/>
    <n v="592459"/>
    <m/>
    <m/>
    <n v="778814"/>
    <n v="554691"/>
    <n v="375900"/>
    <n v="311300"/>
    <n v="542207"/>
    <n v="458036"/>
    <n v="1696921"/>
    <n v="1885.4677777777779"/>
    <n v="1324027"/>
    <n v="1471.1411111111111"/>
    <n v="6496"/>
    <n v="15000"/>
    <n v="1696921"/>
    <n v="1324027"/>
  </r>
  <r>
    <x v="3"/>
    <s v="Pasco-Hernando Community College "/>
    <m/>
    <n v="136400"/>
    <x v="6"/>
    <s v="sem"/>
    <s v="sem"/>
    <m/>
    <m/>
    <n v="87088"/>
    <n v="93566"/>
    <n v="29355"/>
    <n v="30868"/>
    <n v="94569"/>
    <n v="98347"/>
    <n v="211012"/>
    <n v="7033.7333333333336"/>
    <n v="222781"/>
    <n v="7426.0333333333338"/>
    <n v="19177"/>
    <n v="24342"/>
    <n v="211012"/>
    <n v="222781"/>
    <m/>
    <m/>
    <n v="211628"/>
    <n v="206440"/>
    <n v="104665"/>
    <n v="82670"/>
    <n v="194843"/>
    <n v="170272"/>
    <n v="511136"/>
    <n v="567.92888888888888"/>
    <n v="459382"/>
    <n v="510.42444444444442"/>
    <n v="3280"/>
    <n v="480"/>
    <n v="511136"/>
    <n v="459382"/>
  </r>
  <r>
    <x v="3"/>
    <s v="Pensacola State College "/>
    <m/>
    <n v="136473"/>
    <x v="6"/>
    <s v="sem"/>
    <s v="sem"/>
    <m/>
    <m/>
    <n v="101819"/>
    <n v="102411"/>
    <n v="42254"/>
    <n v="42531"/>
    <n v="101019"/>
    <n v="107693"/>
    <n v="245092"/>
    <n v="8169.7333333333336"/>
    <n v="252635"/>
    <n v="8421.1666666666661"/>
    <n v="22827"/>
    <n v="26172"/>
    <n v="245092"/>
    <n v="252635"/>
    <m/>
    <m/>
    <n v="446486"/>
    <n v="387822"/>
    <n v="270188"/>
    <n v="234222"/>
    <n v="406576"/>
    <n v="383605"/>
    <n v="1123250"/>
    <n v="1248.0555555555557"/>
    <n v="1005649"/>
    <n v="1117.3877777777777"/>
    <n v="1170"/>
    <n v="2160"/>
    <n v="1123250"/>
    <n v="1005649"/>
  </r>
  <r>
    <x v="3"/>
    <s v="Polk State College "/>
    <s v="Met the criteria for Two-Year with Bachelor's in 2011-12."/>
    <n v="136516"/>
    <x v="6"/>
    <s v="sem"/>
    <s v="sem"/>
    <m/>
    <m/>
    <n v="82147"/>
    <n v="87435"/>
    <n v="32214"/>
    <n v="33282"/>
    <n v="92104"/>
    <n v="98313"/>
    <n v="206465"/>
    <n v="6882.166666666667"/>
    <n v="219030"/>
    <n v="7301"/>
    <n v="19500"/>
    <n v="23256"/>
    <n v="206465"/>
    <n v="219030"/>
    <m/>
    <m/>
    <n v="70939"/>
    <n v="40784"/>
    <n v="31396"/>
    <n v="24268"/>
    <n v="23518"/>
    <n v="35946"/>
    <n v="125853"/>
    <n v="139.83666666666667"/>
    <n v="100998"/>
    <n v="112.22"/>
    <n v="0"/>
    <n v="0"/>
    <n v="125853"/>
    <n v="100998"/>
  </r>
  <r>
    <x v="3"/>
    <s v="Santa Fe College "/>
    <m/>
    <n v="137096"/>
    <x v="6"/>
    <s v="sem"/>
    <s v="sem"/>
    <m/>
    <m/>
    <n v="140776"/>
    <n v="145105"/>
    <n v="64511"/>
    <n v="67496"/>
    <n v="153811"/>
    <n v="151359"/>
    <n v="359098"/>
    <n v="11969.933333333332"/>
    <n v="363960"/>
    <n v="12132"/>
    <n v="13087"/>
    <n v="14020"/>
    <n v="359098"/>
    <n v="363960"/>
    <m/>
    <m/>
    <n v="245745"/>
    <n v="214465"/>
    <n v="160748"/>
    <n v="144304"/>
    <n v="223330"/>
    <n v="191013"/>
    <n v="629823"/>
    <n v="699.80333333333328"/>
    <n v="549782"/>
    <n v="610.86888888888893"/>
    <n v="4455"/>
    <n v="525"/>
    <n v="629823"/>
    <n v="549782"/>
  </r>
  <r>
    <x v="3"/>
    <s v="Seminole State College of Florida"/>
    <m/>
    <n v="137209"/>
    <x v="6"/>
    <s v="sem"/>
    <s v="sem"/>
    <m/>
    <m/>
    <n v="155071"/>
    <n v="169869"/>
    <n v="75234"/>
    <n v="75855"/>
    <n v="168582"/>
    <n v="169432"/>
    <n v="398887"/>
    <n v="13296.233333333334"/>
    <n v="415156"/>
    <n v="13838.533333333333"/>
    <n v="5604"/>
    <n v="5883"/>
    <n v="398887"/>
    <n v="415156"/>
    <m/>
    <m/>
    <n v="639496"/>
    <n v="542141"/>
    <n v="412861"/>
    <n v="344890"/>
    <n v="606264"/>
    <n v="496784"/>
    <n v="1658621"/>
    <n v="1842.9122222222222"/>
    <n v="1383815"/>
    <n v="1537.5722222222223"/>
    <n v="5093"/>
    <n v="4680"/>
    <n v="1658621"/>
    <n v="1383815"/>
  </r>
  <r>
    <x v="3"/>
    <s v="State College of Florida, Manatee-Sarasota"/>
    <s v="Met the criteria for Two-Year with Bachelor's in 2011-12."/>
    <n v="135391"/>
    <x v="6"/>
    <s v="sem"/>
    <s v="sem"/>
    <m/>
    <m/>
    <n v="118271"/>
    <n v="109231"/>
    <n v="41904"/>
    <n v="36876"/>
    <n v="116205"/>
    <n v="112326"/>
    <n v="276380"/>
    <n v="9212.6666666666661"/>
    <n v="258433"/>
    <n v="8614.4333333333325"/>
    <n v="16851"/>
    <n v="16709"/>
    <n v="276380"/>
    <n v="258433"/>
    <m/>
    <m/>
    <n v="54196"/>
    <n v="10805"/>
    <n v="6407"/>
    <n v="4708"/>
    <n v="12346"/>
    <n v="0"/>
    <n v="72949"/>
    <n v="81.054444444444442"/>
    <n v="15513"/>
    <n v="17.236666666666668"/>
    <n v="0"/>
    <n v="0"/>
    <n v="72949"/>
    <n v="15513"/>
  </r>
  <r>
    <x v="3"/>
    <s v="Tallahassee Community College "/>
    <m/>
    <n v="137759"/>
    <x v="6"/>
    <s v="sem"/>
    <s v="sem"/>
    <m/>
    <m/>
    <n v="134295"/>
    <n v="133652"/>
    <n v="64248"/>
    <n v="70124"/>
    <n v="144277"/>
    <n v="148741"/>
    <n v="342820"/>
    <n v="11427.333333333334"/>
    <n v="352517"/>
    <n v="11750.566666666668"/>
    <n v="7919"/>
    <n v="8663"/>
    <n v="342820"/>
    <n v="352517"/>
    <m/>
    <m/>
    <n v="476932"/>
    <n v="228984"/>
    <n v="83143"/>
    <n v="40015"/>
    <n v="206598"/>
    <n v="142710"/>
    <n v="766673"/>
    <n v="851.85888888888894"/>
    <n v="411709"/>
    <n v="457.45444444444445"/>
    <n v="13672"/>
    <n v="7028"/>
    <n v="766673"/>
    <n v="411709"/>
  </r>
  <r>
    <x v="3"/>
    <s v="Valencia Community College "/>
    <m/>
    <n v="138187"/>
    <x v="6"/>
    <s v="sem"/>
    <s v="sem"/>
    <m/>
    <m/>
    <n v="352629"/>
    <n v="367512"/>
    <n v="182258"/>
    <n v="187193"/>
    <n v="380155"/>
    <n v="388537"/>
    <n v="915042"/>
    <n v="30501.4"/>
    <n v="943242"/>
    <n v="31441.4"/>
    <n v="35157"/>
    <n v="37913"/>
    <n v="915042"/>
    <n v="943242"/>
    <m/>
    <m/>
    <n v="239270"/>
    <n v="96784"/>
    <n v="29906"/>
    <n v="55258"/>
    <n v="66956"/>
    <n v="39296"/>
    <n v="336132"/>
    <n v="373.48"/>
    <n v="191338"/>
    <n v="212.59777777777776"/>
    <n v="0"/>
    <n v="0"/>
    <n v="336132"/>
    <n v="191338"/>
  </r>
  <r>
    <x v="3"/>
    <s v="Gulf Coast Community College "/>
    <m/>
    <n v="134343"/>
    <x v="7"/>
    <s v="sem"/>
    <s v="sem"/>
    <m/>
    <m/>
    <n v="59168"/>
    <n v="57781"/>
    <n v="18435"/>
    <n v="18136"/>
    <n v="61308"/>
    <n v="62384"/>
    <n v="138911"/>
    <n v="4630.3666666666668"/>
    <n v="138301"/>
    <n v="4610.0333333333338"/>
    <n v="15415"/>
    <n v="15203"/>
    <n v="138911"/>
    <n v="138301"/>
    <m/>
    <m/>
    <n v="185496"/>
    <n v="111116"/>
    <n v="86484"/>
    <n v="66384"/>
    <n v="108149"/>
    <n v="74222"/>
    <n v="380129"/>
    <n v="422.36555555555555"/>
    <n v="251722"/>
    <n v="279.69111111111113"/>
    <n v="0"/>
    <n v="0"/>
    <n v="380129"/>
    <n v="251722"/>
  </r>
  <r>
    <x v="3"/>
    <s v="Lake City Community College "/>
    <m/>
    <n v="135160"/>
    <x v="7"/>
    <s v="sem"/>
    <s v="sem"/>
    <m/>
    <m/>
    <n v="24343"/>
    <n v="23834"/>
    <n v="10408"/>
    <n v="10470"/>
    <n v="24231"/>
    <n v="25526"/>
    <n v="58982"/>
    <n v="1966.0666666666666"/>
    <n v="59830"/>
    <n v="1994.3333333333333"/>
    <n v="8725"/>
    <n v="10042"/>
    <n v="58982"/>
    <n v="59830"/>
    <m/>
    <m/>
    <n v="162428"/>
    <n v="129183"/>
    <n v="77073"/>
    <n v="62678"/>
    <n v="126508"/>
    <n v="121412"/>
    <n v="366009"/>
    <n v="406.67666666666668"/>
    <n v="313273"/>
    <n v="348.08111111111111"/>
    <n v="7810"/>
    <n v="5316"/>
    <n v="366009"/>
    <n v="313273"/>
  </r>
  <r>
    <x v="3"/>
    <s v="Lake-Sumter Community College "/>
    <m/>
    <n v="135188"/>
    <x v="7"/>
    <s v="sem"/>
    <s v="sem"/>
    <m/>
    <m/>
    <n v="40208"/>
    <n v="40603"/>
    <n v="14342"/>
    <n v="13943"/>
    <n v="42882"/>
    <n v="42677"/>
    <n v="97432"/>
    <n v="3247.7333333333331"/>
    <n v="97223"/>
    <n v="3240.7666666666669"/>
    <n v="11510"/>
    <n v="13580"/>
    <n v="97432"/>
    <n v="97223"/>
    <m/>
    <m/>
    <n v="30957"/>
    <n v="979"/>
    <n v="236"/>
    <n v="207"/>
    <n v="738"/>
    <n v="654"/>
    <n v="31931"/>
    <n v="35.478888888888889"/>
    <n v="1840"/>
    <n v="2.0444444444444443"/>
    <n v="0"/>
    <n v="0"/>
    <n v="31931"/>
    <n v="1840"/>
  </r>
  <r>
    <x v="3"/>
    <s v="South Florida Community College "/>
    <m/>
    <n v="137315"/>
    <x v="7"/>
    <s v="sem"/>
    <s v="sem"/>
    <m/>
    <m/>
    <n v="21438"/>
    <n v="20029"/>
    <n v="6915"/>
    <n v="6394"/>
    <n v="21133"/>
    <n v="20933"/>
    <n v="49486"/>
    <n v="1649.5333333333333"/>
    <n v="47356"/>
    <n v="1578.5333333333333"/>
    <n v="5236"/>
    <n v="5311"/>
    <n v="49486"/>
    <n v="47356"/>
    <m/>
    <m/>
    <n v="447102"/>
    <n v="387106"/>
    <n v="244057"/>
    <n v="179605"/>
    <n v="394360"/>
    <n v="307704"/>
    <n v="1085519"/>
    <n v="1206.1322222222223"/>
    <n v="874415"/>
    <n v="971.57222222222219"/>
    <n v="93471"/>
    <n v="90138"/>
    <n v="1085519"/>
    <n v="874415"/>
  </r>
  <r>
    <x v="3"/>
    <s v="St. Johns River Community College "/>
    <s v="Met the criteria for Two-Year with Bachelor's in 2011-12."/>
    <n v="137281"/>
    <x v="7"/>
    <s v="sem"/>
    <s v="sem"/>
    <m/>
    <m/>
    <n v="54824"/>
    <n v="55862"/>
    <n v="27031"/>
    <n v="28011"/>
    <n v="57664"/>
    <n v="59157"/>
    <n v="139519"/>
    <n v="4650.6333333333332"/>
    <n v="143030"/>
    <n v="4767.666666666667"/>
    <n v="14543"/>
    <n v="14774"/>
    <n v="139519"/>
    <n v="143030"/>
    <m/>
    <m/>
    <n v="136703"/>
    <n v="117431"/>
    <n v="79226"/>
    <n v="65403"/>
    <n v="137816"/>
    <n v="110790"/>
    <n v="353745"/>
    <n v="393.05"/>
    <n v="293624"/>
    <n v="326.24888888888887"/>
    <n v="0"/>
    <n v="0"/>
    <n v="353745"/>
    <n v="293624"/>
  </r>
  <r>
    <x v="3"/>
    <s v="Florida Keys Community College "/>
    <m/>
    <n v="133960"/>
    <x v="8"/>
    <s v="sem"/>
    <s v="sem"/>
    <m/>
    <m/>
    <n v="12939"/>
    <n v="11322"/>
    <n v="4643"/>
    <n v="4743"/>
    <n v="12317"/>
    <n v="11470"/>
    <n v="29899"/>
    <n v="996.63333333333333"/>
    <n v="27535"/>
    <n v="917.83333333333337"/>
    <n v="2155"/>
    <n v="1914"/>
    <n v="29899"/>
    <n v="27535"/>
    <m/>
    <m/>
    <n v="13926"/>
    <n v="6750"/>
    <n v="4248"/>
    <n v="8057"/>
    <n v="11880"/>
    <n v="7251"/>
    <n v="30054"/>
    <n v="33.393333333333331"/>
    <n v="22058"/>
    <n v="24.50888888888889"/>
    <n v="0"/>
    <n v="0"/>
    <n v="30054"/>
    <n v="22058"/>
  </r>
  <r>
    <x v="3"/>
    <s v="North Florida Community College "/>
    <m/>
    <n v="136145"/>
    <x v="8"/>
    <s v="sem"/>
    <s v="sem"/>
    <m/>
    <m/>
    <n v="9996"/>
    <n v="10776"/>
    <n v="3812"/>
    <n v="3901"/>
    <n v="12128"/>
    <n v="11642"/>
    <n v="25936"/>
    <n v="864.5333333333333"/>
    <n v="26319"/>
    <n v="877.3"/>
    <n v="3321"/>
    <n v="3712"/>
    <n v="25936"/>
    <n v="26319"/>
    <m/>
    <m/>
    <n v="54382"/>
    <n v="58213"/>
    <n v="15058"/>
    <n v="21125"/>
    <n v="52842"/>
    <n v="36927"/>
    <n v="122282"/>
    <n v="135.86888888888888"/>
    <n v="116265"/>
    <n v="129.18333333333334"/>
    <n v="360"/>
    <n v="590"/>
    <n v="122282"/>
    <n v="116265"/>
  </r>
  <r>
    <x v="4"/>
    <s v="Georgia State University "/>
    <m/>
    <n v="139940"/>
    <x v="0"/>
    <s v="sem"/>
    <s v="sem"/>
    <m/>
    <m/>
    <n v="272874.5"/>
    <n v="275402"/>
    <n v="78530"/>
    <n v="78791"/>
    <n v="290434.5"/>
    <n v="294405"/>
    <n v="641839"/>
    <n v="21394.633333333335"/>
    <n v="648598"/>
    <n v="21619.933333333334"/>
    <n v="1792.5"/>
    <n v="1532.5"/>
    <n v="641839"/>
    <n v="648598"/>
    <m/>
    <m/>
    <m/>
    <m/>
    <m/>
    <m/>
    <m/>
    <m/>
    <n v="0"/>
    <n v="0"/>
    <n v="0"/>
    <n v="0"/>
    <m/>
    <m/>
    <n v="0"/>
    <n v="0"/>
  </r>
  <r>
    <x v="4"/>
    <s v="University of Georgia"/>
    <m/>
    <n v="139959"/>
    <x v="0"/>
    <s v="sem"/>
    <s v="sem"/>
    <m/>
    <m/>
    <n v="340046"/>
    <n v="334519"/>
    <n v="61617"/>
    <n v="56768.5"/>
    <n v="351467"/>
    <n v="359771.6"/>
    <n v="753130"/>
    <n v="25104.333333333332"/>
    <n v="751059.1"/>
    <n v="25035.303333333333"/>
    <n v="150"/>
    <n v="245"/>
    <n v="753130"/>
    <n v="751059.1"/>
    <m/>
    <m/>
    <m/>
    <m/>
    <m/>
    <m/>
    <m/>
    <m/>
    <n v="0"/>
    <n v="0"/>
    <n v="0"/>
    <n v="0"/>
    <m/>
    <m/>
    <n v="0"/>
    <n v="0"/>
  </r>
  <r>
    <x v="4"/>
    <s v="Georgia Institute of Technology"/>
    <m/>
    <n v="139755"/>
    <x v="1"/>
    <s v="sem"/>
    <s v="sem"/>
    <m/>
    <m/>
    <n v="174280"/>
    <n v="174934"/>
    <n v="46102"/>
    <n v="45475"/>
    <n v="188856"/>
    <n v="192016"/>
    <n v="409238"/>
    <n v="13641.266666666666"/>
    <n v="412425"/>
    <n v="13747.5"/>
    <n v="1950"/>
    <n v="2210"/>
    <n v="409238"/>
    <n v="412425"/>
    <m/>
    <m/>
    <m/>
    <m/>
    <m/>
    <m/>
    <m/>
    <m/>
    <n v="0"/>
    <n v="0"/>
    <n v="0"/>
    <n v="0"/>
    <m/>
    <m/>
    <n v="0"/>
    <n v="0"/>
  </r>
  <r>
    <x v="4"/>
    <s v="Georgia Southern University"/>
    <m/>
    <n v="139931"/>
    <x v="2"/>
    <s v="sem"/>
    <s v="sem"/>
    <m/>
    <m/>
    <n v="205502"/>
    <n v="211194.5"/>
    <n v="59225"/>
    <n v="61666"/>
    <n v="230015"/>
    <n v="233397"/>
    <n v="494742"/>
    <n v="16491.400000000001"/>
    <n v="506257.5"/>
    <n v="16875.25"/>
    <n v="1610"/>
    <n v="1921"/>
    <n v="494742"/>
    <n v="506257.5"/>
    <m/>
    <m/>
    <m/>
    <m/>
    <m/>
    <m/>
    <m/>
    <m/>
    <n v="0"/>
    <n v="0"/>
    <n v="0"/>
    <n v="0"/>
    <m/>
    <m/>
    <n v="0"/>
    <n v="0"/>
  </r>
  <r>
    <x v="4"/>
    <s v="University of West Georgia"/>
    <m/>
    <n v="141334"/>
    <x v="2"/>
    <s v="sem"/>
    <s v="sem"/>
    <m/>
    <m/>
    <n v="117328"/>
    <n v="116229"/>
    <n v="32634"/>
    <n v="33909"/>
    <n v="125774"/>
    <n v="128657"/>
    <n v="275736"/>
    <n v="9191.2000000000007"/>
    <n v="278795"/>
    <n v="9293.1666666666661"/>
    <n v="2672"/>
    <n v="2573"/>
    <n v="275736"/>
    <n v="278795"/>
    <m/>
    <m/>
    <m/>
    <m/>
    <m/>
    <m/>
    <m/>
    <m/>
    <n v="0"/>
    <n v="0"/>
    <n v="0"/>
    <n v="0"/>
    <m/>
    <m/>
    <n v="0"/>
    <n v="0"/>
  </r>
  <r>
    <x v="4"/>
    <s v="Valdosta State University "/>
    <m/>
    <n v="141264"/>
    <x v="2"/>
    <s v="sem"/>
    <s v="sem"/>
    <m/>
    <m/>
    <n v="130748"/>
    <n v="132972"/>
    <n v="26477"/>
    <n v="26870"/>
    <n v="142481"/>
    <n v="139485"/>
    <n v="299706"/>
    <n v="9990.2000000000007"/>
    <n v="299327"/>
    <n v="9977.5666666666675"/>
    <n v="231"/>
    <n v="269"/>
    <n v="299706"/>
    <n v="299327"/>
    <m/>
    <m/>
    <m/>
    <m/>
    <m/>
    <m/>
    <m/>
    <m/>
    <n v="0"/>
    <n v="0"/>
    <n v="0"/>
    <n v="0"/>
    <m/>
    <m/>
    <n v="0"/>
    <n v="0"/>
  </r>
  <r>
    <x v="4"/>
    <s v="Albany State University "/>
    <m/>
    <n v="138716"/>
    <x v="3"/>
    <s v="sem"/>
    <s v="sem"/>
    <m/>
    <m/>
    <n v="50049"/>
    <n v="50803"/>
    <n v="18468"/>
    <n v="19410"/>
    <n v="54588"/>
    <n v="54183"/>
    <n v="123105"/>
    <n v="4103.5"/>
    <n v="124396"/>
    <n v="4146.5333333333338"/>
    <n v="31"/>
    <n v="37"/>
    <n v="123105"/>
    <n v="124396"/>
    <m/>
    <m/>
    <m/>
    <m/>
    <m/>
    <m/>
    <m/>
    <m/>
    <n v="0"/>
    <n v="0"/>
    <n v="0"/>
    <n v="0"/>
    <m/>
    <m/>
    <n v="0"/>
    <n v="0"/>
  </r>
  <r>
    <x v="4"/>
    <s v="Armstrong Atlantic State University"/>
    <m/>
    <n v="138789"/>
    <x v="3"/>
    <s v="sem"/>
    <s v="sem"/>
    <m/>
    <m/>
    <n v="72463.3"/>
    <n v="76494.399999999994"/>
    <n v="21244.799999999999"/>
    <n v="22230"/>
    <n v="81381.600000000006"/>
    <n v="79879"/>
    <n v="175089.7"/>
    <n v="5836.3233333333337"/>
    <n v="178603.4"/>
    <n v="5953.4466666666667"/>
    <n v="928"/>
    <n v="745"/>
    <n v="175089.7"/>
    <n v="178603.4"/>
    <m/>
    <m/>
    <m/>
    <m/>
    <m/>
    <m/>
    <m/>
    <m/>
    <n v="0"/>
    <n v="0"/>
    <n v="0"/>
    <n v="0"/>
    <m/>
    <m/>
    <n v="0"/>
    <n v="0"/>
  </r>
  <r>
    <x v="4"/>
    <s v="Columbus State University"/>
    <m/>
    <n v="139366"/>
    <x v="3"/>
    <s v="sem"/>
    <s v="sem"/>
    <m/>
    <m/>
    <n v="79581"/>
    <n v="78366"/>
    <n v="24072"/>
    <n v="23168"/>
    <n v="82915"/>
    <n v="83177"/>
    <n v="186568"/>
    <n v="6218.9333333333334"/>
    <n v="184711"/>
    <n v="6157.0333333333338"/>
    <n v="860"/>
    <n v="766"/>
    <n v="186568"/>
    <n v="184711"/>
    <m/>
    <m/>
    <m/>
    <m/>
    <m/>
    <m/>
    <m/>
    <m/>
    <n v="0"/>
    <n v="0"/>
    <n v="0"/>
    <n v="0"/>
    <m/>
    <m/>
    <n v="0"/>
    <n v="0"/>
  </r>
  <r>
    <x v="4"/>
    <s v="Georgia College and State University"/>
    <m/>
    <n v="139861"/>
    <x v="3"/>
    <s v="sem"/>
    <s v="sem"/>
    <m/>
    <m/>
    <n v="72259"/>
    <n v="72065"/>
    <n v="15858"/>
    <n v="15575"/>
    <n v="78216"/>
    <n v="77941.5"/>
    <n v="166333"/>
    <n v="5544.4333333333334"/>
    <n v="165581.5"/>
    <n v="5519.3833333333332"/>
    <n v="634"/>
    <n v="574"/>
    <n v="166333"/>
    <n v="165581.5"/>
    <m/>
    <m/>
    <m/>
    <m/>
    <m/>
    <m/>
    <m/>
    <m/>
    <n v="0"/>
    <n v="0"/>
    <n v="0"/>
    <n v="0"/>
    <m/>
    <m/>
    <n v="0"/>
    <n v="0"/>
  </r>
  <r>
    <x v="4"/>
    <s v="Kennesaw State University"/>
    <s v="Met the criteria for Four-Year 3 in 2011-12."/>
    <n v="140164"/>
    <x v="3"/>
    <s v="sem"/>
    <s v="sem"/>
    <m/>
    <m/>
    <n v="241792"/>
    <n v="250745"/>
    <n v="77014"/>
    <n v="74469"/>
    <n v="262278"/>
    <n v="269717"/>
    <n v="581084"/>
    <n v="19369.466666666667"/>
    <n v="594931"/>
    <n v="19831.033333333333"/>
    <n v="2709"/>
    <n v="3558"/>
    <n v="581084"/>
    <n v="594931"/>
    <m/>
    <m/>
    <m/>
    <m/>
    <m/>
    <m/>
    <m/>
    <m/>
    <n v="0"/>
    <n v="0"/>
    <n v="0"/>
    <n v="0"/>
    <m/>
    <m/>
    <n v="0"/>
    <n v="0"/>
  </r>
  <r>
    <x v="4"/>
    <s v="Augusta State University"/>
    <s v="Met the criteria for Four-Year 4 in 2010-11 and 2011-12."/>
    <n v="138983"/>
    <x v="4"/>
    <s v="sem"/>
    <s v="sem"/>
    <m/>
    <m/>
    <n v="65976"/>
    <n v="65929"/>
    <n v="18559"/>
    <n v="17265"/>
    <n v="70294"/>
    <n v="68476"/>
    <n v="154829"/>
    <n v="5160.9666666666662"/>
    <n v="151670"/>
    <n v="5055.666666666667"/>
    <n v="923"/>
    <n v="844"/>
    <n v="154829"/>
    <n v="151670"/>
    <m/>
    <m/>
    <m/>
    <m/>
    <m/>
    <m/>
    <m/>
    <m/>
    <n v="0"/>
    <n v="0"/>
    <n v="0"/>
    <n v="0"/>
    <m/>
    <m/>
    <n v="0"/>
    <n v="0"/>
  </r>
  <r>
    <x v="4"/>
    <s v="Clayton State University"/>
    <s v="Reclassified: met the criteria for Four-Year 5 in 2009-10, 2010-11 and 2011-12."/>
    <n v="139311"/>
    <x v="4"/>
    <s v="sem"/>
    <s v="sem"/>
    <m/>
    <m/>
    <n v="70958"/>
    <n v="70014"/>
    <n v="28536"/>
    <n v="28772"/>
    <n v="69440"/>
    <n v="70882"/>
    <n v="168934"/>
    <n v="5631.1333333333332"/>
    <n v="169668"/>
    <n v="5655.6"/>
    <n v="4142"/>
    <n v="4597"/>
    <n v="168934"/>
    <n v="169668"/>
    <m/>
    <m/>
    <m/>
    <m/>
    <m/>
    <m/>
    <m/>
    <m/>
    <n v="0"/>
    <n v="0"/>
    <n v="0"/>
    <n v="0"/>
    <m/>
    <m/>
    <n v="0"/>
    <n v="0"/>
  </r>
  <r>
    <x v="4"/>
    <s v="Fort Valley State University"/>
    <m/>
    <n v="139719"/>
    <x v="4"/>
    <s v="sem"/>
    <s v="sem"/>
    <m/>
    <m/>
    <n v="45001"/>
    <n v="43498"/>
    <n v="11156"/>
    <n v="10572"/>
    <n v="45899"/>
    <n v="48340"/>
    <n v="102056"/>
    <n v="3401.8666666666668"/>
    <n v="102410"/>
    <n v="3413.6666666666665"/>
    <n v="203"/>
    <n v="265"/>
    <n v="102056"/>
    <n v="102410"/>
    <m/>
    <m/>
    <m/>
    <m/>
    <m/>
    <m/>
    <m/>
    <m/>
    <n v="0"/>
    <n v="0"/>
    <n v="0"/>
    <n v="0"/>
    <m/>
    <m/>
    <n v="0"/>
    <n v="0"/>
  </r>
  <r>
    <x v="4"/>
    <s v="Georgia Southwestern State University"/>
    <m/>
    <n v="139764"/>
    <x v="4"/>
    <s v="sem"/>
    <s v="sem"/>
    <m/>
    <m/>
    <n v="30377"/>
    <n v="32215"/>
    <n v="11215"/>
    <n v="11775"/>
    <n v="34458"/>
    <n v="33474"/>
    <n v="76050"/>
    <n v="2535"/>
    <n v="77464"/>
    <n v="2582.1333333333332"/>
    <n v="470"/>
    <n v="643"/>
    <n v="76050"/>
    <n v="77464"/>
    <m/>
    <m/>
    <m/>
    <m/>
    <m/>
    <m/>
    <m/>
    <m/>
    <n v="0"/>
    <n v="0"/>
    <n v="0"/>
    <n v="0"/>
    <m/>
    <m/>
    <n v="0"/>
    <n v="0"/>
  </r>
  <r>
    <x v="4"/>
    <s v="North Georgia College and State University"/>
    <s v="Met the criteria for Four-Year 4 in 2010-11 and 2011-12."/>
    <n v="140669"/>
    <x v="4"/>
    <s v="sem"/>
    <s v="sem"/>
    <m/>
    <m/>
    <n v="62759"/>
    <n v="67162"/>
    <n v="13939"/>
    <n v="14643"/>
    <n v="69397"/>
    <n v="71634"/>
    <n v="146095"/>
    <n v="4869.833333333333"/>
    <n v="153439"/>
    <n v="5114.6333333333332"/>
    <n v="206"/>
    <n v="210"/>
    <n v="146095"/>
    <n v="153439"/>
    <m/>
    <m/>
    <m/>
    <m/>
    <m/>
    <m/>
    <m/>
    <m/>
    <n v="0"/>
    <n v="0"/>
    <n v="0"/>
    <n v="0"/>
    <m/>
    <m/>
    <n v="0"/>
    <n v="0"/>
  </r>
  <r>
    <x v="4"/>
    <s v="Savannah State University"/>
    <m/>
    <n v="140960"/>
    <x v="4"/>
    <s v="sem"/>
    <s v="sem"/>
    <m/>
    <m/>
    <n v="47770"/>
    <n v="48301"/>
    <n v="12768"/>
    <n v="13000"/>
    <n v="52522"/>
    <n v="57314"/>
    <n v="113060"/>
    <n v="3768.6666666666665"/>
    <n v="118615"/>
    <n v="3953.8333333333335"/>
    <n v="726"/>
    <n v="1034"/>
    <n v="113060"/>
    <n v="118615"/>
    <m/>
    <m/>
    <m/>
    <m/>
    <m/>
    <m/>
    <m/>
    <m/>
    <n v="0"/>
    <n v="0"/>
    <n v="0"/>
    <n v="0"/>
    <m/>
    <m/>
    <n v="0"/>
    <n v="0"/>
  </r>
  <r>
    <x v="4"/>
    <s v="Georgia Gwinnett College"/>
    <s v="Met the criteia for Four-Year 6 in 2011-12 but still (?) in start up phase?"/>
    <n v="447689"/>
    <x v="5"/>
    <s v="sem"/>
    <s v="sem"/>
    <m/>
    <m/>
    <n v="37530"/>
    <n v="67161"/>
    <n v="10190"/>
    <n v="18140"/>
    <n v="64003"/>
    <n v="92274"/>
    <n v="111723"/>
    <n v="3724.1"/>
    <n v="177575"/>
    <n v="5919.166666666667"/>
    <n v="1761"/>
    <n v="2408"/>
    <n v="111723"/>
    <n v="177575"/>
    <m/>
    <m/>
    <m/>
    <m/>
    <m/>
    <m/>
    <m/>
    <m/>
    <n v="0"/>
    <n v="0"/>
    <n v="0"/>
    <n v="0"/>
    <m/>
    <m/>
    <n v="0"/>
    <n v="0"/>
  </r>
  <r>
    <x v="4"/>
    <s v="Macon State College "/>
    <m/>
    <n v="140322"/>
    <x v="5"/>
    <s v="sem"/>
    <s v="sem"/>
    <m/>
    <m/>
    <n v="65702"/>
    <n v="61658"/>
    <n v="26823"/>
    <n v="25609"/>
    <n v="64264"/>
    <n v="60160"/>
    <n v="156789"/>
    <n v="5226.3"/>
    <n v="147427"/>
    <n v="4914.2333333333336"/>
    <n v="937"/>
    <n v="1203"/>
    <n v="156789"/>
    <n v="147427"/>
    <m/>
    <m/>
    <m/>
    <m/>
    <m/>
    <m/>
    <m/>
    <m/>
    <n v="0"/>
    <n v="0"/>
    <n v="0"/>
    <n v="0"/>
    <m/>
    <m/>
    <n v="0"/>
    <n v="0"/>
  </r>
  <r>
    <x v="4"/>
    <s v="Dalton State College "/>
    <m/>
    <n v="139463"/>
    <x v="11"/>
    <s v="sem"/>
    <s v="sem"/>
    <m/>
    <m/>
    <n v="59021"/>
    <n v="60114"/>
    <n v="14948"/>
    <n v="13407"/>
    <n v="64257"/>
    <n v="58779"/>
    <n v="138226"/>
    <n v="4607.5333333333338"/>
    <n v="132300"/>
    <n v="4410"/>
    <n v="979"/>
    <n v="991"/>
    <n v="138226"/>
    <n v="132300"/>
    <m/>
    <m/>
    <m/>
    <m/>
    <m/>
    <m/>
    <m/>
    <m/>
    <n v="0"/>
    <n v="0"/>
    <n v="0"/>
    <n v="0"/>
    <m/>
    <m/>
    <n v="0"/>
    <n v="0"/>
  </r>
  <r>
    <x v="4"/>
    <s v="Gainesville State College "/>
    <m/>
    <n v="139773"/>
    <x v="11"/>
    <s v="sem"/>
    <s v="sem"/>
    <m/>
    <m/>
    <n v="90696"/>
    <n v="87167"/>
    <n v="21540"/>
    <n v="21559"/>
    <n v="99648"/>
    <n v="92855"/>
    <n v="211884"/>
    <n v="7062.8"/>
    <n v="201581"/>
    <n v="6719.3666666666668"/>
    <n v="1891"/>
    <n v="11206"/>
    <n v="211884"/>
    <n v="201581"/>
    <m/>
    <m/>
    <m/>
    <m/>
    <m/>
    <m/>
    <m/>
    <m/>
    <n v="0"/>
    <n v="0"/>
    <n v="0"/>
    <n v="0"/>
    <m/>
    <m/>
    <n v="0"/>
    <n v="0"/>
  </r>
  <r>
    <x v="4"/>
    <s v="Gordon College "/>
    <s v="Reclassified: met the criteria for Two-Year with Bachelor's in 2009-10, 2010-11 and 2011-12."/>
    <n v="139968"/>
    <x v="11"/>
    <s v="sem"/>
    <s v="sem"/>
    <m/>
    <m/>
    <n v="51741"/>
    <n v="56296"/>
    <n v="10591"/>
    <n v="9907"/>
    <n v="59568"/>
    <n v="54394"/>
    <n v="121900"/>
    <n v="4063.3333333333335"/>
    <n v="120597"/>
    <n v="4019.9"/>
    <n v="488"/>
    <n v="766"/>
    <n v="121900"/>
    <n v="120597"/>
    <m/>
    <m/>
    <m/>
    <m/>
    <m/>
    <m/>
    <m/>
    <m/>
    <n v="0"/>
    <n v="0"/>
    <n v="0"/>
    <n v="0"/>
    <m/>
    <m/>
    <n v="0"/>
    <n v="0"/>
  </r>
  <r>
    <x v="4"/>
    <s v="Georgia Perimeter College "/>
    <m/>
    <n v="244437"/>
    <x v="6"/>
    <s v="sem"/>
    <s v="sem"/>
    <m/>
    <m/>
    <n v="249558"/>
    <n v="250419"/>
    <n v="92265"/>
    <n v="105024"/>
    <n v="238981"/>
    <n v="254794"/>
    <n v="580804"/>
    <n v="19360.133333333335"/>
    <n v="610237"/>
    <n v="20341.233333333334"/>
    <n v="9130"/>
    <n v="772"/>
    <n v="580804"/>
    <n v="610237"/>
    <m/>
    <m/>
    <m/>
    <m/>
    <m/>
    <m/>
    <m/>
    <m/>
    <n v="0"/>
    <n v="0"/>
    <n v="0"/>
    <n v="0"/>
    <m/>
    <m/>
    <n v="0"/>
    <n v="0"/>
  </r>
  <r>
    <x v="4"/>
    <s v="Abraham Baldwin Agricultural College "/>
    <s v="Met the criteria for Two-Year with Bachelor's in 2011-12. "/>
    <n v="138558"/>
    <x v="7"/>
    <s v="sem"/>
    <s v="sem"/>
    <m/>
    <m/>
    <n v="35407"/>
    <n v="35443"/>
    <n v="7488"/>
    <n v="8028"/>
    <n v="39045"/>
    <n v="37672"/>
    <n v="81940"/>
    <n v="2731.3333333333335"/>
    <n v="81143"/>
    <n v="2704.7666666666669"/>
    <n v="461"/>
    <n v="1241"/>
    <n v="81940"/>
    <n v="81143"/>
    <m/>
    <m/>
    <m/>
    <m/>
    <m/>
    <m/>
    <m/>
    <m/>
    <n v="0"/>
    <n v="0"/>
    <n v="0"/>
    <n v="0"/>
    <m/>
    <m/>
    <n v="0"/>
    <n v="0"/>
  </r>
  <r>
    <x v="4"/>
    <s v="Atlanta Metropolitan College"/>
    <s v="Reclassified: Met the criteria for Two-Year 2 in 2009-10, 2010-11 and 2011-12."/>
    <n v="138901"/>
    <x v="7"/>
    <s v="sem"/>
    <s v="sem"/>
    <m/>
    <m/>
    <n v="30588"/>
    <n v="32533"/>
    <n v="15458"/>
    <n v="13582"/>
    <n v="34383"/>
    <n v="29816"/>
    <n v="80429"/>
    <n v="2680.9666666666667"/>
    <n v="75931"/>
    <n v="2531.0333333333333"/>
    <n v="189"/>
    <n v="300"/>
    <n v="80429"/>
    <n v="75931"/>
    <m/>
    <m/>
    <m/>
    <m/>
    <m/>
    <m/>
    <m/>
    <m/>
    <n v="0"/>
    <n v="0"/>
    <n v="0"/>
    <n v="0"/>
    <m/>
    <m/>
    <n v="0"/>
    <n v="0"/>
  </r>
  <r>
    <x v="4"/>
    <s v="Bainbridge College "/>
    <m/>
    <n v="139010"/>
    <x v="7"/>
    <s v="sem"/>
    <s v="sem"/>
    <m/>
    <m/>
    <n v="39130"/>
    <n v="39960"/>
    <n v="22371"/>
    <n v="23673"/>
    <n v="38927"/>
    <n v="39342"/>
    <n v="100428"/>
    <n v="3347.6"/>
    <n v="102975"/>
    <n v="3432.5"/>
    <n v="1501"/>
    <n v="873"/>
    <n v="100428"/>
    <n v="102975"/>
    <m/>
    <m/>
    <m/>
    <m/>
    <m/>
    <m/>
    <m/>
    <m/>
    <n v="0"/>
    <n v="0"/>
    <n v="0"/>
    <n v="0"/>
    <m/>
    <m/>
    <n v="0"/>
    <n v="0"/>
  </r>
  <r>
    <x v="4"/>
    <s v="College of Coastal Georgia "/>
    <s v="Met the criteria for Two-Year with Bachelor's in 2011-12. "/>
    <n v="139250"/>
    <x v="7"/>
    <s v="sem"/>
    <s v="sem"/>
    <m/>
    <m/>
    <n v="32135"/>
    <n v="34704"/>
    <n v="11595"/>
    <n v="10136"/>
    <n v="36464"/>
    <n v="37459"/>
    <n v="80194"/>
    <n v="2673.1333333333332"/>
    <n v="82299"/>
    <n v="2743.3"/>
    <n v="452.5"/>
    <n v="907.5"/>
    <n v="80194"/>
    <n v="82299"/>
    <m/>
    <m/>
    <m/>
    <m/>
    <m/>
    <m/>
    <m/>
    <m/>
    <n v="0"/>
    <n v="0"/>
    <n v="0"/>
    <n v="0"/>
    <m/>
    <m/>
    <n v="0"/>
    <n v="0"/>
  </r>
  <r>
    <x v="4"/>
    <s v="Darton College "/>
    <m/>
    <n v="138691"/>
    <x v="7"/>
    <s v="sem"/>
    <s v="sem"/>
    <m/>
    <m/>
    <n v="55012"/>
    <n v="52377"/>
    <n v="31711.5"/>
    <n v="28811.5"/>
    <n v="58005.5"/>
    <n v="60674.5"/>
    <n v="144729"/>
    <n v="4824.3"/>
    <n v="141863"/>
    <n v="4728.7666666666664"/>
    <n v="814.5"/>
    <n v="1773"/>
    <n v="144729"/>
    <n v="141863"/>
    <m/>
    <m/>
    <m/>
    <m/>
    <m/>
    <m/>
    <m/>
    <m/>
    <n v="0"/>
    <n v="0"/>
    <n v="0"/>
    <n v="0"/>
    <m/>
    <m/>
    <n v="0"/>
    <n v="0"/>
  </r>
  <r>
    <x v="4"/>
    <s v="East Georgia College"/>
    <s v="Reclassified: Met the criteria for Two-Year 2 in 2009-10, 2010-11 and 2011-12."/>
    <n v="139621"/>
    <x v="7"/>
    <s v="sem"/>
    <s v="sem"/>
    <m/>
    <m/>
    <n v="30560"/>
    <n v="32742"/>
    <n v="8053"/>
    <n v="8505"/>
    <n v="35396"/>
    <n v="39921"/>
    <n v="74009"/>
    <n v="2466.9666666666667"/>
    <n v="81168"/>
    <n v="2705.6"/>
    <n v="350"/>
    <n v="427"/>
    <n v="74009"/>
    <n v="81168"/>
    <m/>
    <m/>
    <m/>
    <m/>
    <m/>
    <m/>
    <m/>
    <m/>
    <n v="0"/>
    <n v="0"/>
    <n v="0"/>
    <n v="0"/>
    <m/>
    <m/>
    <n v="0"/>
    <n v="0"/>
  </r>
  <r>
    <x v="4"/>
    <s v="Georgia Highlands College"/>
    <m/>
    <n v="139700"/>
    <x v="7"/>
    <s v="sem"/>
    <s v="sem"/>
    <m/>
    <m/>
    <n v="54466"/>
    <n v="54217"/>
    <n v="13260"/>
    <n v="14882"/>
    <n v="55319"/>
    <n v="57318"/>
    <n v="123045"/>
    <n v="4101.5"/>
    <n v="126417"/>
    <n v="4213.8999999999996"/>
    <n v="805"/>
    <n v="1083"/>
    <n v="123045"/>
    <n v="126417"/>
    <m/>
    <m/>
    <m/>
    <m/>
    <m/>
    <m/>
    <m/>
    <m/>
    <n v="0"/>
    <n v="0"/>
    <n v="0"/>
    <n v="0"/>
    <m/>
    <m/>
    <n v="0"/>
    <n v="0"/>
  </r>
  <r>
    <x v="4"/>
    <s v="Middle Georgia College "/>
    <s v="Met the criteria for Two-Year with Bachelor's in 2011-12. "/>
    <n v="140483"/>
    <x v="7"/>
    <s v="sem"/>
    <s v="sem"/>
    <m/>
    <m/>
    <n v="40918"/>
    <n v="39534"/>
    <n v="12523"/>
    <n v="12649"/>
    <n v="41598"/>
    <n v="40079"/>
    <n v="95039"/>
    <n v="3167.9666666666667"/>
    <n v="92262"/>
    <n v="3075.4"/>
    <n v="3789"/>
    <n v="3334"/>
    <n v="95039"/>
    <n v="92262"/>
    <m/>
    <m/>
    <m/>
    <m/>
    <m/>
    <m/>
    <m/>
    <m/>
    <n v="0"/>
    <n v="0"/>
    <n v="0"/>
    <n v="0"/>
    <m/>
    <m/>
    <n v="0"/>
    <n v="0"/>
  </r>
  <r>
    <x v="4"/>
    <s v="South Georgia College "/>
    <m/>
    <n v="140997"/>
    <x v="8"/>
    <s v="sem"/>
    <s v="sem"/>
    <m/>
    <m/>
    <n v="23064"/>
    <n v="23745"/>
    <n v="7438"/>
    <n v="7156"/>
    <n v="26935"/>
    <n v="27869"/>
    <n v="57437"/>
    <n v="1914.5666666666666"/>
    <n v="58770"/>
    <n v="1959"/>
    <n v="347"/>
    <n v="472"/>
    <n v="57437"/>
    <n v="58770"/>
    <m/>
    <m/>
    <m/>
    <m/>
    <m/>
    <m/>
    <m/>
    <m/>
    <n v="0"/>
    <n v="0"/>
    <n v="0"/>
    <n v="0"/>
    <m/>
    <m/>
    <n v="0"/>
    <n v="0"/>
  </r>
  <r>
    <x v="4"/>
    <s v="Waycross College "/>
    <m/>
    <n v="141307"/>
    <x v="8"/>
    <s v="sem"/>
    <s v="sem"/>
    <m/>
    <m/>
    <n v="11128"/>
    <n v="10389"/>
    <n v="4720"/>
    <n v="3317"/>
    <n v="10688"/>
    <n v="9159"/>
    <n v="26536"/>
    <n v="884.5333333333333"/>
    <n v="22865"/>
    <n v="762.16666666666663"/>
    <n v="1047"/>
    <n v="1091"/>
    <n v="26536"/>
    <n v="22865"/>
    <m/>
    <m/>
    <m/>
    <m/>
    <m/>
    <m/>
    <m/>
    <m/>
    <n v="0"/>
    <n v="0"/>
    <n v="0"/>
    <n v="0"/>
    <m/>
    <m/>
    <n v="0"/>
    <n v="0"/>
  </r>
  <r>
    <x v="4"/>
    <s v="Albany Technical College"/>
    <m/>
    <n v="138682"/>
    <x v="9"/>
    <s v="sem"/>
    <s v="sem"/>
    <n v="33547.010600000001"/>
    <n v="37569.199999999997"/>
    <n v="34167.708299999998"/>
    <n v="35802.5"/>
    <n v="30838.208499999997"/>
    <n v="32995"/>
    <n v="37792.556199999999"/>
    <n v="51561"/>
    <n v="136345.48360000001"/>
    <n v="4544.8494533333333"/>
    <n v="157927.70000000001"/>
    <n v="5264.2566666666671"/>
    <n v="452"/>
    <n v="323"/>
    <n v="136345.48360000001"/>
    <n v="157927.70000000001"/>
    <m/>
    <m/>
    <m/>
    <m/>
    <m/>
    <m/>
    <m/>
    <m/>
    <n v="0"/>
    <n v="0"/>
    <n v="0"/>
    <n v="0"/>
    <m/>
    <m/>
    <n v="0"/>
    <n v="0"/>
  </r>
  <r>
    <x v="4"/>
    <s v="Altamaha Technical College"/>
    <m/>
    <n v="366447"/>
    <x v="9"/>
    <s v="sem"/>
    <s v="sem"/>
    <n v="11147.8907"/>
    <n v="10602.2"/>
    <n v="10527.859699999999"/>
    <n v="10098.200000000001"/>
    <n v="8702.4350999999988"/>
    <n v="3622.2"/>
    <n v="12093.271299999999"/>
    <n v="12784"/>
    <n v="42471.456799999993"/>
    <n v="1415.7152266666665"/>
    <n v="37106.600000000006"/>
    <n v="1236.8866666666668"/>
    <n v="3288"/>
    <n v="1507.1"/>
    <n v="42471.456799999993"/>
    <n v="37106.600000000006"/>
    <m/>
    <m/>
    <m/>
    <m/>
    <m/>
    <m/>
    <m/>
    <m/>
    <n v="0"/>
    <n v="0"/>
    <n v="0"/>
    <n v="0"/>
    <m/>
    <m/>
    <n v="0"/>
    <n v="0"/>
  </r>
  <r>
    <x v="4"/>
    <s v="Athens Technical College"/>
    <m/>
    <n v="246813"/>
    <x v="9"/>
    <s v="sem"/>
    <s v="sem"/>
    <n v="34402.386699999995"/>
    <n v="36279.1"/>
    <n v="32594.296299999998"/>
    <n v="33147"/>
    <n v="21445.7389"/>
    <n v="12104.6"/>
    <n v="38871.943500000001"/>
    <n v="43959"/>
    <n v="127314.36539999998"/>
    <n v="4243.812179999999"/>
    <n v="125489.70000000001"/>
    <n v="4182.9900000000007"/>
    <n v="1109"/>
    <n v="962"/>
    <n v="127314.36539999998"/>
    <n v="125489.70000000001"/>
    <m/>
    <m/>
    <m/>
    <m/>
    <m/>
    <m/>
    <m/>
    <m/>
    <n v="0"/>
    <n v="0"/>
    <n v="0"/>
    <n v="0"/>
    <m/>
    <m/>
    <n v="0"/>
    <n v="0"/>
  </r>
  <r>
    <x v="4"/>
    <s v="Atlanta Technical College"/>
    <m/>
    <n v="138840"/>
    <x v="9"/>
    <s v="sem"/>
    <s v="sem"/>
    <n v="37775.888699999996"/>
    <n v="36866.5"/>
    <n v="37771.888500000001"/>
    <n v="36451.199999999997"/>
    <n v="31954.264299999999"/>
    <n v="25381.9"/>
    <n v="38652.599199999997"/>
    <n v="40562"/>
    <n v="146154.64069999999"/>
    <n v="4871.8213566666664"/>
    <n v="139261.6"/>
    <n v="4642.0533333333333"/>
    <n v="2329"/>
    <n v="1877.3"/>
    <n v="146154.64069999999"/>
    <n v="139261.6"/>
    <m/>
    <m/>
    <m/>
    <m/>
    <m/>
    <m/>
    <m/>
    <m/>
    <n v="0"/>
    <n v="0"/>
    <n v="0"/>
    <n v="0"/>
    <m/>
    <m/>
    <n v="0"/>
    <n v="0"/>
  </r>
  <r>
    <x v="4"/>
    <s v="Augusta Technical College"/>
    <m/>
    <n v="138956"/>
    <x v="9"/>
    <s v="sem"/>
    <s v="sem"/>
    <n v="33486.340899999996"/>
    <n v="33722.400000000001"/>
    <n v="31612.9139"/>
    <n v="31324.2"/>
    <n v="25719.952599999997"/>
    <n v="12452.6"/>
    <n v="38543.927100000001"/>
    <n v="41669"/>
    <n v="129363.13449999999"/>
    <n v="4312.1044833333326"/>
    <n v="119168.20000000001"/>
    <n v="3972.2733333333335"/>
    <n v="1611"/>
    <n v="1048.0999999999999"/>
    <n v="129363.13449999999"/>
    <n v="119168.20000000001"/>
    <m/>
    <m/>
    <m/>
    <m/>
    <m/>
    <m/>
    <m/>
    <m/>
    <n v="0"/>
    <n v="0"/>
    <n v="0"/>
    <n v="0"/>
    <m/>
    <m/>
    <n v="0"/>
    <n v="0"/>
  </r>
  <r>
    <x v="4"/>
    <s v="Central Georgia Technical College"/>
    <m/>
    <n v="140304"/>
    <x v="9"/>
    <s v="sem"/>
    <s v="sem"/>
    <n v="52015.933999999994"/>
    <n v="54020"/>
    <n v="49473.140199999994"/>
    <n v="48719.1"/>
    <n v="43476.840400000001"/>
    <n v="23905.200000000001"/>
    <n v="60434.354899999998"/>
    <n v="58448"/>
    <n v="205400.26949999999"/>
    <n v="6846.6756500000001"/>
    <n v="185092.3"/>
    <n v="6169.7433333333329"/>
    <n v="3264"/>
    <n v="2248"/>
    <n v="205400.26949999999"/>
    <n v="185092.3"/>
    <m/>
    <m/>
    <m/>
    <m/>
    <m/>
    <m/>
    <m/>
    <m/>
    <n v="0"/>
    <n v="0"/>
    <n v="0"/>
    <n v="0"/>
    <m/>
    <m/>
    <n v="0"/>
    <n v="0"/>
  </r>
  <r>
    <x v="4"/>
    <s v="Chattahoochee Technical College"/>
    <m/>
    <n v="140331"/>
    <x v="9"/>
    <s v="sem"/>
    <s v="sem"/>
    <n v="79721.319199999998"/>
    <n v="91757.3"/>
    <n v="81272.063399999999"/>
    <n v="85064.9"/>
    <n v="61834.424899999998"/>
    <n v="32122.3"/>
    <n v="96390.152600000001"/>
    <n v="99754"/>
    <n v="319217.96010000003"/>
    <n v="10640.598670000001"/>
    <n v="308698.5"/>
    <n v="10289.950000000001"/>
    <n v="2290"/>
    <n v="2195.4"/>
    <n v="319217.96010000003"/>
    <n v="308698.5"/>
    <m/>
    <m/>
    <m/>
    <m/>
    <m/>
    <m/>
    <m/>
    <m/>
    <n v="0"/>
    <n v="0"/>
    <n v="0"/>
    <n v="0"/>
    <m/>
    <m/>
    <n v="0"/>
    <n v="0"/>
  </r>
  <r>
    <x v="4"/>
    <s v="Columbus Technical College"/>
    <m/>
    <n v="139357"/>
    <x v="9"/>
    <s v="sem"/>
    <s v="sem"/>
    <n v="26607.330299999998"/>
    <n v="27443.4"/>
    <n v="25703.951799999999"/>
    <n v="26314.6"/>
    <n v="20734.37"/>
    <n v="7903.1"/>
    <n v="29527.476299999998"/>
    <n v="33611"/>
    <n v="102573.12839999999"/>
    <n v="3419.1042799999996"/>
    <n v="95272.1"/>
    <n v="3175.7366666666667"/>
    <n v="2653.3"/>
    <n v="1924.5"/>
    <n v="102573.12839999999"/>
    <n v="95272.1"/>
    <m/>
    <m/>
    <m/>
    <m/>
    <m/>
    <m/>
    <m/>
    <m/>
    <n v="0"/>
    <n v="0"/>
    <n v="0"/>
    <n v="0"/>
    <m/>
    <m/>
    <n v="0"/>
    <n v="0"/>
  </r>
  <r>
    <x v="4"/>
    <s v="Georgia Northwestern Technical College"/>
    <m/>
    <n v="139384"/>
    <x v="9"/>
    <s v="sem"/>
    <s v="sem"/>
    <n v="44979.582199999997"/>
    <n v="48301.1"/>
    <n v="43988.1993"/>
    <n v="45131.6"/>
    <n v="35226.427899999995"/>
    <n v="21635.1"/>
    <n v="50874.543599999997"/>
    <n v="59364"/>
    <n v="175068.753"/>
    <n v="5835.6251000000002"/>
    <n v="174431.8"/>
    <n v="5814.3933333333325"/>
    <n v="5541"/>
    <n v="4173.8"/>
    <n v="175068.753"/>
    <n v="174431.8"/>
    <m/>
    <m/>
    <m/>
    <m/>
    <m/>
    <m/>
    <m/>
    <m/>
    <n v="0"/>
    <n v="0"/>
    <n v="0"/>
    <n v="0"/>
    <m/>
    <m/>
    <n v="0"/>
    <n v="0"/>
  </r>
  <r>
    <x v="4"/>
    <s v="Georgia Piedmont Technical College"/>
    <s v="Formerly DeKalb Technical College."/>
    <n v="244446"/>
    <x v="9"/>
    <s v="sem"/>
    <s v="sem"/>
    <n v="35567.778299999998"/>
    <n v="36192.5"/>
    <n v="34705.735199999996"/>
    <n v="34126.400000000001"/>
    <n v="27517.375799999998"/>
    <n v="13138"/>
    <n v="35634.448299999996"/>
    <n v="35883"/>
    <n v="133425.3376"/>
    <n v="4447.5112533333331"/>
    <n v="119339.9"/>
    <n v="3977.9966666666664"/>
    <n v="1220.0999999999999"/>
    <n v="1191.4000000000001"/>
    <n v="133425.3376"/>
    <n v="119339.9"/>
    <m/>
    <m/>
    <m/>
    <m/>
    <m/>
    <m/>
    <m/>
    <m/>
    <n v="0"/>
    <n v="0"/>
    <n v="0"/>
    <n v="0"/>
    <m/>
    <m/>
    <n v="0"/>
    <n v="0"/>
  </r>
  <r>
    <x v="4"/>
    <s v="Gwinnett Technical College"/>
    <m/>
    <n v="140012"/>
    <x v="9"/>
    <s v="sem"/>
    <s v="sem"/>
    <n v="47017.684099999999"/>
    <n v="49573.8"/>
    <n v="47253.695899999999"/>
    <n v="47859.1"/>
    <n v="33377.002099999998"/>
    <n v="17142.900000000001"/>
    <n v="51227.227899999998"/>
    <n v="58997"/>
    <n v="178875.61"/>
    <n v="5962.5203333333329"/>
    <n v="173572.8"/>
    <n v="5785.7599999999993"/>
    <n v="578"/>
    <n v="1122.7"/>
    <n v="178875.61"/>
    <n v="173572.8"/>
    <m/>
    <m/>
    <m/>
    <m/>
    <m/>
    <m/>
    <m/>
    <m/>
    <n v="0"/>
    <n v="0"/>
    <n v="0"/>
    <n v="0"/>
    <m/>
    <m/>
    <n v="0"/>
    <n v="0"/>
  </r>
  <r>
    <x v="4"/>
    <s v="Lanier Technical College"/>
    <m/>
    <n v="140243"/>
    <x v="9"/>
    <s v="sem"/>
    <s v="sem"/>
    <n v="28524.092799999999"/>
    <n v="28683.4"/>
    <n v="27641.381999999998"/>
    <n v="25922"/>
    <n v="22991.816199999997"/>
    <n v="8443.1"/>
    <n v="30493.524599999997"/>
    <n v="29904"/>
    <n v="109650.8156"/>
    <n v="3655.0271866666667"/>
    <n v="92952.5"/>
    <n v="3098.4166666666665"/>
    <n v="2281"/>
    <n v="1555"/>
    <n v="109650.8156"/>
    <n v="92952.5"/>
    <m/>
    <m/>
    <m/>
    <m/>
    <m/>
    <m/>
    <m/>
    <m/>
    <n v="0"/>
    <n v="0"/>
    <n v="0"/>
    <n v="0"/>
    <m/>
    <m/>
    <n v="0"/>
    <n v="0"/>
  </r>
  <r>
    <x v="4"/>
    <s v="Middle Georgia Technical College"/>
    <m/>
    <n v="140085"/>
    <x v="9"/>
    <s v="sem"/>
    <s v="sem"/>
    <n v="29330.799799999997"/>
    <n v="33682.400000000001"/>
    <n v="27260.6963"/>
    <n v="29323.5"/>
    <n v="26774.005299999997"/>
    <n v="11001.2"/>
    <n v="34443.722099999999"/>
    <n v="36611"/>
    <n v="117809.22349999999"/>
    <n v="3926.9741166666663"/>
    <n v="110618.1"/>
    <n v="3687.27"/>
    <n v="6833"/>
    <n v="4122.3999999999996"/>
    <n v="117809.22349999999"/>
    <n v="110618.1"/>
    <m/>
    <m/>
    <m/>
    <m/>
    <m/>
    <m/>
    <m/>
    <m/>
    <n v="0"/>
    <n v="0"/>
    <n v="0"/>
    <n v="0"/>
    <m/>
    <m/>
    <n v="0"/>
    <n v="0"/>
  </r>
  <r>
    <x v="4"/>
    <s v="Moultrie Technical College"/>
    <m/>
    <n v="140599"/>
    <x v="9"/>
    <s v="sem"/>
    <s v="sem"/>
    <n v="18257.5795"/>
    <n v="19075.599999999999"/>
    <n v="17093.5213"/>
    <n v="16884.8"/>
    <n v="15706.1186"/>
    <n v="7234.4"/>
    <n v="19635.648399999998"/>
    <n v="21431"/>
    <n v="70692.867800000007"/>
    <n v="2356.4289266666669"/>
    <n v="64625.799999999996"/>
    <n v="2154.1933333333332"/>
    <n v="6471"/>
    <n v="4135.8"/>
    <n v="70692.867800000007"/>
    <n v="64625.799999999996"/>
    <m/>
    <m/>
    <m/>
    <m/>
    <m/>
    <m/>
    <m/>
    <m/>
    <n v="0"/>
    <n v="0"/>
    <n v="0"/>
    <n v="0"/>
    <m/>
    <m/>
    <n v="0"/>
    <n v="0"/>
  </r>
  <r>
    <x v="4"/>
    <s v="North Georgia Technical College"/>
    <m/>
    <n v="140678"/>
    <x v="9"/>
    <s v="sem"/>
    <s v="sem"/>
    <n v="22767.805"/>
    <n v="20626.400000000001"/>
    <n v="21553.744299999998"/>
    <n v="18672.900000000001"/>
    <n v="17196.1931"/>
    <n v="7467"/>
    <n v="22905.811899999997"/>
    <n v="25494"/>
    <n v="84423.554300000003"/>
    <n v="2814.118476666667"/>
    <n v="72260.3"/>
    <n v="2408.6766666666667"/>
    <n v="698.5"/>
    <n v="480"/>
    <n v="84423.554300000003"/>
    <n v="72260.3"/>
    <m/>
    <m/>
    <m/>
    <m/>
    <m/>
    <m/>
    <m/>
    <m/>
    <n v="0"/>
    <n v="0"/>
    <n v="0"/>
    <n v="0"/>
    <m/>
    <m/>
    <n v="0"/>
    <n v="0"/>
  </r>
  <r>
    <x v="4"/>
    <s v="Ogeechee Technical College"/>
    <m/>
    <n v="366465"/>
    <x v="9"/>
    <s v="sem"/>
    <s v="sem"/>
    <n v="18244.245499999997"/>
    <n v="21376.400000000001"/>
    <n v="17638.8819"/>
    <n v="20006.3"/>
    <n v="15686.784299999999"/>
    <n v="8146.4"/>
    <n v="21958.431199999999"/>
    <n v="21912"/>
    <n v="73528.342899999989"/>
    <n v="2450.944763333333"/>
    <n v="71441.100000000006"/>
    <n v="2381.3700000000003"/>
    <n v="1717"/>
    <n v="1225.3"/>
    <n v="73528.342899999989"/>
    <n v="71441.100000000006"/>
    <m/>
    <m/>
    <m/>
    <m/>
    <m/>
    <m/>
    <m/>
    <m/>
    <n v="0"/>
    <n v="0"/>
    <n v="0"/>
    <n v="0"/>
    <m/>
    <m/>
    <n v="0"/>
    <n v="0"/>
  </r>
  <r>
    <x v="4"/>
    <s v="Okefenokee Technical College"/>
    <m/>
    <n v="248776"/>
    <x v="9"/>
    <s v="sem"/>
    <s v="sem"/>
    <n v="11126.889649999999"/>
    <n v="10321.799999999999"/>
    <n v="10321.849399999999"/>
    <n v="9388.1"/>
    <n v="9058.4529000000002"/>
    <n v="3592.8"/>
    <n v="11818.590899999999"/>
    <n v="12025"/>
    <n v="42325.782849999996"/>
    <n v="1410.8594283333332"/>
    <n v="35327.699999999997"/>
    <n v="1177.5899999999999"/>
    <n v="1662.5"/>
    <n v="1054.7"/>
    <n v="42325.782849999996"/>
    <n v="35327.699999999997"/>
    <m/>
    <m/>
    <m/>
    <m/>
    <m/>
    <m/>
    <m/>
    <m/>
    <n v="0"/>
    <n v="0"/>
    <n v="0"/>
    <n v="0"/>
    <m/>
    <m/>
    <n v="0"/>
    <n v="0"/>
  </r>
  <r>
    <x v="4"/>
    <s v="Savannah Technical College"/>
    <m/>
    <n v="140942"/>
    <x v="9"/>
    <s v="sem"/>
    <s v="sem"/>
    <n v="38177.242099999996"/>
    <n v="37717.9"/>
    <n v="36391.152799999996"/>
    <n v="34802.400000000001"/>
    <n v="30190.176099999997"/>
    <n v="21076.400000000001"/>
    <n v="41410.070399999997"/>
    <n v="42060"/>
    <n v="146168.64139999996"/>
    <n v="4872.2880466666657"/>
    <n v="135656.70000000001"/>
    <n v="4521.8900000000003"/>
    <n v="2961"/>
    <n v="2322.1"/>
    <n v="146168.64139999996"/>
    <n v="135656.70000000001"/>
    <m/>
    <m/>
    <m/>
    <m/>
    <m/>
    <m/>
    <m/>
    <m/>
    <n v="0"/>
    <n v="0"/>
    <n v="0"/>
    <n v="0"/>
    <m/>
    <m/>
    <n v="0"/>
    <n v="0"/>
  </r>
  <r>
    <x v="4"/>
    <s v="South Georgia Technical College"/>
    <m/>
    <n v="141006"/>
    <x v="9"/>
    <s v="sem"/>
    <s v="sem"/>
    <n v="20985.715899999999"/>
    <n v="20734.400000000001"/>
    <n v="19985.6659"/>
    <n v="19875.7"/>
    <n v="18392.919599999997"/>
    <n v="8747.1"/>
    <n v="21639.748599999999"/>
    <n v="23652"/>
    <n v="81004.049999999988"/>
    <n v="2700.1349999999998"/>
    <n v="73009.200000000012"/>
    <n v="2433.6400000000003"/>
    <n v="2302"/>
    <n v="1468.4"/>
    <n v="81004.049999999988"/>
    <n v="73009.200000000012"/>
    <m/>
    <m/>
    <m/>
    <m/>
    <m/>
    <m/>
    <m/>
    <m/>
    <n v="0"/>
    <n v="0"/>
    <n v="0"/>
    <n v="0"/>
    <m/>
    <m/>
    <n v="0"/>
    <n v="0"/>
  </r>
  <r>
    <x v="4"/>
    <s v="Southeastern Technical College"/>
    <m/>
    <n v="368911"/>
    <x v="9"/>
    <s v="sem"/>
    <s v="sem"/>
    <n v="13370.6685"/>
    <n v="12954"/>
    <n v="12611.297199999999"/>
    <n v="12408"/>
    <n v="11233.228299999999"/>
    <n v="4332.2"/>
    <n v="14613.397299999999"/>
    <n v="16303"/>
    <n v="51828.5913"/>
    <n v="1727.6197099999999"/>
    <n v="45997.2"/>
    <n v="1533.24"/>
    <n v="3495"/>
    <n v="2133.6999999999998"/>
    <n v="51828.5913"/>
    <n v="45997.2"/>
    <m/>
    <m/>
    <m/>
    <m/>
    <m/>
    <m/>
    <m/>
    <m/>
    <n v="0"/>
    <n v="0"/>
    <n v="0"/>
    <n v="0"/>
    <m/>
    <m/>
    <n v="0"/>
    <n v="0"/>
  </r>
  <r>
    <x v="4"/>
    <s v="Southern Crescent Technical College"/>
    <m/>
    <n v="139986"/>
    <x v="9"/>
    <s v="sem"/>
    <s v="sem"/>
    <n v="45760.487909999996"/>
    <n v="41650.300000000003"/>
    <n v="42853.742579999998"/>
    <n v="38802.800000000003"/>
    <n v="35607.446949999998"/>
    <n v="15218.8"/>
    <n v="46607.996950000001"/>
    <n v="48389"/>
    <n v="170829.67439"/>
    <n v="5694.3224796666664"/>
    <n v="144060.90000000002"/>
    <n v="4802.0300000000007"/>
    <m/>
    <n v="1473.7"/>
    <n v="0"/>
    <n v="144060.90000000002"/>
    <m/>
    <m/>
    <m/>
    <m/>
    <m/>
    <m/>
    <m/>
    <m/>
    <n v="0"/>
    <n v="0"/>
    <n v="0"/>
    <n v="0"/>
    <m/>
    <m/>
    <n v="0"/>
    <n v="0"/>
  </r>
  <r>
    <x v="4"/>
    <s v="Southwest Georgia Technical College"/>
    <m/>
    <n v="141158"/>
    <x v="9"/>
    <s v="sem"/>
    <s v="sem"/>
    <n v="11052.21925"/>
    <n v="11118.6"/>
    <n v="10481.190699999999"/>
    <n v="9766.5"/>
    <n v="8995.7830999999987"/>
    <n v="4271.2"/>
    <n v="11521.909399999999"/>
    <n v="14739"/>
    <n v="42051.102449999998"/>
    <n v="1401.7034149999999"/>
    <n v="39895.300000000003"/>
    <n v="1329.8433333333335"/>
    <n v="3092.5"/>
    <n v="2535.6999999999998"/>
    <n v="42051.102449999998"/>
    <n v="39895.300000000003"/>
    <m/>
    <m/>
    <m/>
    <m/>
    <m/>
    <m/>
    <m/>
    <m/>
    <n v="0"/>
    <n v="0"/>
    <n v="0"/>
    <n v="0"/>
    <m/>
    <m/>
    <n v="0"/>
    <n v="0"/>
  </r>
  <r>
    <x v="4"/>
    <s v="West Georgia Technical College"/>
    <m/>
    <n v="139278"/>
    <x v="9"/>
    <s v="sem"/>
    <s v="sem"/>
    <n v="49156.457699999999"/>
    <n v="51884.6"/>
    <n v="45675.616999999998"/>
    <n v="48082.400000000001"/>
    <n v="34583.729099999997"/>
    <n v="19157"/>
    <n v="55429.437999999995"/>
    <n v="62486"/>
    <n v="184845.24179999999"/>
    <n v="6161.5080599999992"/>
    <n v="181610"/>
    <n v="6053.666666666667"/>
    <n v="11431"/>
    <n v="6574.8"/>
    <n v="184845.24179999999"/>
    <n v="181610"/>
    <m/>
    <m/>
    <m/>
    <m/>
    <m/>
    <m/>
    <m/>
    <m/>
    <n v="0"/>
    <n v="0"/>
    <n v="0"/>
    <n v="0"/>
    <m/>
    <m/>
    <n v="0"/>
    <n v="0"/>
  </r>
  <r>
    <x v="4"/>
    <s v="Wiregrass Georgia Technical College"/>
    <m/>
    <n v="141255"/>
    <x v="9"/>
    <s v="sem"/>
    <s v="sem"/>
    <n v="39643.982100000001"/>
    <n v="39835.300000000003"/>
    <n v="36861.843000000001"/>
    <n v="37235.199999999997"/>
    <n v="32686.300899999998"/>
    <n v="16354.2"/>
    <n v="40730.703099999999"/>
    <n v="44327"/>
    <n v="149922.8291"/>
    <n v="4997.4276366666663"/>
    <n v="137751.70000000001"/>
    <n v="4591.7233333333334"/>
    <m/>
    <n v="2909.8"/>
    <n v="0"/>
    <n v="137751.70000000001"/>
    <m/>
    <m/>
    <m/>
    <m/>
    <m/>
    <m/>
    <m/>
    <m/>
    <n v="0"/>
    <n v="0"/>
    <n v="0"/>
    <n v="0"/>
    <m/>
    <m/>
    <n v="0"/>
    <n v="0"/>
  </r>
  <r>
    <x v="4"/>
    <s v="Oconee Fall Line Technical College"/>
    <s v="Is the merger of Heart of Georgia Tech and Sandersville Tech"/>
    <n v="420431"/>
    <x v="9"/>
    <s v="sem"/>
    <s v="sem"/>
    <n v="17998.8999"/>
    <n v="18479.5"/>
    <n v="17064.1865"/>
    <n v="16510.800000000003"/>
    <n v="16176.142099999999"/>
    <n v="8010"/>
    <n v="19020.284299999999"/>
    <n v="16677"/>
    <n v="70259.512799999997"/>
    <n v="2341.9837600000001"/>
    <n v="59677.3"/>
    <n v="1989.2433333333333"/>
    <n v="8551"/>
    <n v="2730.8"/>
    <n v="70259.512799999997"/>
    <n v="59677.3"/>
    <m/>
    <m/>
    <m/>
    <m/>
    <m/>
    <m/>
    <m/>
    <m/>
    <n v="0"/>
    <n v="0"/>
    <n v="0"/>
    <n v="0"/>
    <m/>
    <m/>
    <n v="0"/>
    <n v="0"/>
  </r>
  <r>
    <x v="5"/>
    <s v="University of Kentucky"/>
    <m/>
    <n v="157085"/>
    <x v="0"/>
    <s v="sem"/>
    <s v="sem"/>
    <m/>
    <m/>
    <n v="242842"/>
    <n v="250747"/>
    <n v="25898"/>
    <n v="28605"/>
    <n v="271185"/>
    <n v="276434"/>
    <n v="539925"/>
    <n v="17997.5"/>
    <n v="555786"/>
    <n v="18526.2"/>
    <n v="24"/>
    <n v="47"/>
    <n v="539925"/>
    <n v="555786"/>
    <m/>
    <m/>
    <m/>
    <m/>
    <m/>
    <m/>
    <m/>
    <m/>
    <n v="0"/>
    <n v="0"/>
    <n v="0"/>
    <n v="0"/>
    <m/>
    <m/>
    <n v="0"/>
    <n v="0"/>
  </r>
  <r>
    <x v="5"/>
    <s v="University of Louisville"/>
    <m/>
    <n v="157289"/>
    <x v="0"/>
    <s v="sem"/>
    <s v="sem"/>
    <m/>
    <m/>
    <n v="171347.5"/>
    <n v="173103"/>
    <n v="35566"/>
    <n v="35687"/>
    <n v="186984"/>
    <n v="188398"/>
    <n v="393897.5"/>
    <n v="13129.916666666666"/>
    <n v="397188"/>
    <n v="13239.6"/>
    <n v="1067"/>
    <n v="1282"/>
    <n v="393897.5"/>
    <n v="397188"/>
    <m/>
    <m/>
    <m/>
    <m/>
    <m/>
    <m/>
    <m/>
    <m/>
    <n v="0"/>
    <n v="0"/>
    <n v="0"/>
    <n v="0"/>
    <m/>
    <m/>
    <n v="0"/>
    <n v="0"/>
  </r>
  <r>
    <x v="5"/>
    <s v="Eastern Kentucky University "/>
    <m/>
    <n v="156620"/>
    <x v="2"/>
    <s v="sem"/>
    <s v="sem"/>
    <m/>
    <m/>
    <n v="170928.5"/>
    <n v="167687"/>
    <n v="24466"/>
    <n v="22324"/>
    <n v="185843"/>
    <n v="176487"/>
    <n v="381237.5"/>
    <n v="12707.916666666666"/>
    <n v="366498"/>
    <n v="12216.6"/>
    <n v="2741"/>
    <n v="2863"/>
    <n v="381237.5"/>
    <n v="366498"/>
    <m/>
    <m/>
    <m/>
    <m/>
    <m/>
    <m/>
    <m/>
    <m/>
    <n v="0"/>
    <n v="0"/>
    <n v="0"/>
    <n v="0"/>
    <m/>
    <m/>
    <n v="0"/>
    <n v="0"/>
  </r>
  <r>
    <x v="5"/>
    <s v="Morehead State University "/>
    <m/>
    <n v="157386"/>
    <x v="2"/>
    <s v="sem"/>
    <s v="sem"/>
    <m/>
    <m/>
    <n v="82360"/>
    <n v="81756"/>
    <n v="11026"/>
    <n v="9599"/>
    <n v="88964"/>
    <n v="97095"/>
    <n v="182350"/>
    <n v="6078.333333333333"/>
    <n v="188450"/>
    <n v="6281.666666666667"/>
    <n v="2965"/>
    <n v="9086"/>
    <n v="182350"/>
    <n v="188450"/>
    <m/>
    <m/>
    <m/>
    <m/>
    <m/>
    <m/>
    <m/>
    <m/>
    <n v="0"/>
    <n v="0"/>
    <n v="0"/>
    <n v="0"/>
    <m/>
    <m/>
    <n v="0"/>
    <n v="0"/>
  </r>
  <r>
    <x v="5"/>
    <s v="Murray State University "/>
    <m/>
    <n v="157401"/>
    <x v="2"/>
    <s v="sem"/>
    <s v="sem"/>
    <m/>
    <m/>
    <n v="100493"/>
    <n v="101531"/>
    <n v="10272"/>
    <n v="10049"/>
    <n v="109426"/>
    <n v="111062"/>
    <n v="220191"/>
    <n v="7339.7"/>
    <n v="222642"/>
    <n v="7421.4"/>
    <n v="1323"/>
    <n v="2696"/>
    <n v="220191"/>
    <n v="222642"/>
    <m/>
    <m/>
    <m/>
    <m/>
    <m/>
    <m/>
    <m/>
    <m/>
    <n v="0"/>
    <n v="0"/>
    <n v="0"/>
    <n v="0"/>
    <m/>
    <m/>
    <n v="0"/>
    <n v="0"/>
  </r>
  <r>
    <x v="5"/>
    <s v="Western Kentucky University "/>
    <m/>
    <n v="157951"/>
    <x v="2"/>
    <s v="sem"/>
    <s v="sem"/>
    <m/>
    <m/>
    <n v="213901.5"/>
    <n v="211050"/>
    <n v="25423"/>
    <n v="24919"/>
    <n v="224710"/>
    <n v="223633"/>
    <n v="464034.5"/>
    <n v="15467.816666666668"/>
    <n v="459602"/>
    <n v="15320.066666666668"/>
    <n v="10837"/>
    <n v="12153"/>
    <n v="464034.5"/>
    <n v="459602"/>
    <m/>
    <m/>
    <m/>
    <m/>
    <m/>
    <m/>
    <m/>
    <m/>
    <n v="0"/>
    <n v="0"/>
    <n v="0"/>
    <n v="0"/>
    <m/>
    <m/>
    <n v="0"/>
    <n v="0"/>
  </r>
  <r>
    <x v="5"/>
    <s v="Kentucky State University "/>
    <m/>
    <n v="157058"/>
    <x v="3"/>
    <s v="sem"/>
    <s v="sem"/>
    <m/>
    <m/>
    <n v="28635.5"/>
    <n v="29269"/>
    <n v="4993"/>
    <n v="4031"/>
    <n v="32907"/>
    <n v="30478"/>
    <n v="66535.5"/>
    <n v="2217.85"/>
    <n v="63778"/>
    <n v="2125.9333333333334"/>
    <n v="521"/>
    <n v="490"/>
    <n v="66535.5"/>
    <n v="63778"/>
    <m/>
    <m/>
    <m/>
    <m/>
    <m/>
    <m/>
    <m/>
    <m/>
    <n v="0"/>
    <n v="0"/>
    <n v="0"/>
    <n v="0"/>
    <m/>
    <m/>
    <n v="0"/>
    <n v="0"/>
  </r>
  <r>
    <x v="5"/>
    <s v="Northern Kentucky University "/>
    <m/>
    <n v="157447"/>
    <x v="3"/>
    <s v="sem"/>
    <s v="sem"/>
    <m/>
    <m/>
    <n v="148527.5"/>
    <n v="149605"/>
    <n v="20938"/>
    <n v="22457"/>
    <n v="162428"/>
    <n v="162661"/>
    <n v="331893.5"/>
    <n v="11063.116666666667"/>
    <n v="334723"/>
    <n v="11157.433333333332"/>
    <n v="3953"/>
    <n v="4106"/>
    <n v="331893.5"/>
    <n v="334723"/>
    <m/>
    <m/>
    <m/>
    <m/>
    <m/>
    <m/>
    <m/>
    <m/>
    <n v="0"/>
    <n v="0"/>
    <n v="0"/>
    <n v="0"/>
    <m/>
    <m/>
    <n v="0"/>
    <n v="0"/>
  </r>
  <r>
    <x v="5"/>
    <s v="Bluegrass Community and Technical College"/>
    <m/>
    <n v="157173"/>
    <x v="6"/>
    <s v="sem"/>
    <s v="sem"/>
    <m/>
    <m/>
    <n v="120509.2"/>
    <n v="123732"/>
    <n v="26693"/>
    <n v="27952"/>
    <n v="131976"/>
    <n v="134608"/>
    <n v="279178.2"/>
    <n v="9305.94"/>
    <n v="286292"/>
    <n v="9543.0666666666675"/>
    <n v="6083"/>
    <n v="7198"/>
    <n v="279178.2"/>
    <n v="286292"/>
    <m/>
    <m/>
    <m/>
    <m/>
    <m/>
    <m/>
    <m/>
    <m/>
    <n v="0"/>
    <n v="0"/>
    <n v="0"/>
    <n v="0"/>
    <m/>
    <m/>
    <n v="0"/>
    <n v="0"/>
  </r>
  <r>
    <x v="5"/>
    <s v="Jefferson Community and Technical College "/>
    <m/>
    <n v="156921"/>
    <x v="6"/>
    <s v="sem"/>
    <s v="sem"/>
    <m/>
    <m/>
    <n v="122116.1"/>
    <n v="120585"/>
    <n v="23012"/>
    <n v="22034"/>
    <n v="128917"/>
    <n v="123792"/>
    <n v="274045.09999999998"/>
    <n v="9134.8366666666661"/>
    <n v="266411"/>
    <n v="8880.3666666666668"/>
    <n v="11985"/>
    <n v="12829"/>
    <n v="274045.09999999998"/>
    <n v="266411"/>
    <m/>
    <m/>
    <m/>
    <m/>
    <m/>
    <m/>
    <m/>
    <m/>
    <n v="0"/>
    <n v="0"/>
    <n v="0"/>
    <n v="0"/>
    <m/>
    <m/>
    <n v="0"/>
    <n v="0"/>
  </r>
  <r>
    <x v="5"/>
    <s v="Ashland Community and Technical College"/>
    <m/>
    <n v="156231"/>
    <x v="7"/>
    <s v="sem"/>
    <s v="sem"/>
    <m/>
    <m/>
    <n v="34670.6"/>
    <n v="35108"/>
    <n v="6961"/>
    <n v="8480"/>
    <n v="45287"/>
    <n v="43144"/>
    <n v="86918.6"/>
    <n v="2897.2866666666669"/>
    <n v="86732"/>
    <n v="2891.0666666666666"/>
    <n v="8362"/>
    <n v="9358"/>
    <n v="86918.6"/>
    <n v="86732"/>
    <m/>
    <m/>
    <m/>
    <m/>
    <m/>
    <m/>
    <m/>
    <m/>
    <n v="0"/>
    <n v="0"/>
    <n v="0"/>
    <n v="0"/>
    <m/>
    <m/>
    <n v="0"/>
    <n v="0"/>
  </r>
  <r>
    <x v="5"/>
    <s v="Big Sandy Community and Technical College "/>
    <m/>
    <n v="157553"/>
    <x v="7"/>
    <s v="sem"/>
    <s v="sem"/>
    <m/>
    <m/>
    <n v="40177"/>
    <n v="40087"/>
    <n v="8855"/>
    <n v="7575"/>
    <n v="44013"/>
    <n v="40140"/>
    <n v="93045"/>
    <n v="3101.5"/>
    <n v="87802"/>
    <n v="2926.7333333333331"/>
    <n v="2310"/>
    <n v="2355"/>
    <n v="93045"/>
    <n v="87802"/>
    <m/>
    <m/>
    <m/>
    <m/>
    <m/>
    <m/>
    <m/>
    <m/>
    <n v="0"/>
    <n v="0"/>
    <n v="0"/>
    <n v="0"/>
    <m/>
    <m/>
    <n v="0"/>
    <n v="0"/>
  </r>
  <r>
    <x v="5"/>
    <s v="Elizabethtown Community and Technical College "/>
    <m/>
    <n v="156648"/>
    <x v="7"/>
    <s v="sem"/>
    <s v="sem"/>
    <m/>
    <m/>
    <n v="56319"/>
    <n v="56602"/>
    <n v="10204"/>
    <n v="10429"/>
    <n v="62554"/>
    <n v="60635"/>
    <n v="129077"/>
    <n v="4302.5666666666666"/>
    <n v="127666"/>
    <n v="4255.5333333333338"/>
    <n v="2188"/>
    <n v="2349"/>
    <n v="129077"/>
    <n v="127666"/>
    <m/>
    <m/>
    <m/>
    <m/>
    <m/>
    <m/>
    <m/>
    <m/>
    <n v="0"/>
    <n v="0"/>
    <n v="0"/>
    <n v="0"/>
    <m/>
    <m/>
    <n v="0"/>
    <n v="0"/>
  </r>
  <r>
    <x v="5"/>
    <s v="Hopkinsville Community College "/>
    <s v="Reclassified: Met the criteria for Two-Year 2 in 2009-10, 2010-11 and 2011-12."/>
    <n v="156860"/>
    <x v="7"/>
    <s v="sem"/>
    <s v="sem"/>
    <m/>
    <m/>
    <n v="33279"/>
    <n v="33542"/>
    <n v="7526"/>
    <n v="8530"/>
    <n v="34835"/>
    <n v="36857"/>
    <n v="75640"/>
    <n v="2521.3333333333335"/>
    <n v="78929"/>
    <n v="2630.9666666666667"/>
    <n v="1860"/>
    <n v="2196"/>
    <n v="75640"/>
    <n v="78929"/>
    <m/>
    <m/>
    <m/>
    <m/>
    <m/>
    <m/>
    <m/>
    <m/>
    <n v="0"/>
    <n v="0"/>
    <n v="0"/>
    <n v="0"/>
    <m/>
    <m/>
    <n v="0"/>
    <n v="0"/>
  </r>
  <r>
    <x v="5"/>
    <s v="Madisonville Community College"/>
    <m/>
    <n v="157304"/>
    <x v="7"/>
    <s v="sem"/>
    <s v="sem"/>
    <m/>
    <m/>
    <n v="28921"/>
    <n v="28895"/>
    <n v="4159"/>
    <n v="3252"/>
    <n v="31718"/>
    <n v="30523"/>
    <n v="64798"/>
    <n v="2159.9333333333334"/>
    <n v="62670"/>
    <n v="2089"/>
    <n v="3759"/>
    <n v="4474"/>
    <n v="64798"/>
    <n v="62670"/>
    <m/>
    <m/>
    <m/>
    <m/>
    <m/>
    <m/>
    <m/>
    <m/>
    <n v="0"/>
    <n v="0"/>
    <n v="0"/>
    <n v="0"/>
    <m/>
    <m/>
    <n v="0"/>
    <n v="0"/>
  </r>
  <r>
    <x v="5"/>
    <s v="Maysville Community and Technical College "/>
    <m/>
    <n v="157331"/>
    <x v="7"/>
    <s v="sem"/>
    <s v="sem"/>
    <m/>
    <m/>
    <n v="46017"/>
    <n v="47733"/>
    <n v="10286"/>
    <n v="10304"/>
    <n v="45595"/>
    <n v="45934"/>
    <n v="101898"/>
    <n v="3396.6"/>
    <n v="103971"/>
    <n v="3465.7"/>
    <n v="6982"/>
    <n v="7272"/>
    <n v="101898"/>
    <n v="103971"/>
    <m/>
    <m/>
    <m/>
    <m/>
    <m/>
    <m/>
    <m/>
    <m/>
    <n v="0"/>
    <n v="0"/>
    <n v="0"/>
    <n v="0"/>
    <m/>
    <m/>
    <n v="0"/>
    <n v="0"/>
  </r>
  <r>
    <x v="5"/>
    <s v="Owensboro Community and Technical College "/>
    <m/>
    <n v="247940"/>
    <x v="7"/>
    <s v="sem"/>
    <s v="sem"/>
    <m/>
    <m/>
    <n v="41679"/>
    <n v="42505"/>
    <n v="6128"/>
    <n v="5971"/>
    <n v="51170"/>
    <n v="48398"/>
    <n v="98977"/>
    <n v="3299.2333333333331"/>
    <n v="96874"/>
    <n v="3229.1333333333332"/>
    <n v="17977"/>
    <n v="16621"/>
    <n v="98977"/>
    <n v="96874"/>
    <m/>
    <m/>
    <m/>
    <m/>
    <m/>
    <m/>
    <m/>
    <m/>
    <n v="0"/>
    <n v="0"/>
    <n v="0"/>
    <n v="0"/>
    <m/>
    <m/>
    <n v="0"/>
    <n v="0"/>
  </r>
  <r>
    <x v="5"/>
    <s v="Somerset Community and Technical College "/>
    <s v="Met the criteria for classification as a Two-Year 1 in 2011-12."/>
    <n v="157711"/>
    <x v="7"/>
    <s v="sem"/>
    <s v="sem"/>
    <m/>
    <m/>
    <n v="70326"/>
    <n v="77066"/>
    <n v="12302"/>
    <n v="13713"/>
    <n v="81708"/>
    <n v="82170"/>
    <n v="164336"/>
    <n v="5477.8666666666668"/>
    <n v="172949"/>
    <n v="5764.9666666666662"/>
    <n v="9766"/>
    <n v="10299"/>
    <n v="164336"/>
    <n v="172949"/>
    <m/>
    <m/>
    <m/>
    <m/>
    <m/>
    <m/>
    <m/>
    <m/>
    <n v="0"/>
    <n v="0"/>
    <n v="0"/>
    <n v="0"/>
    <m/>
    <m/>
    <n v="0"/>
    <n v="0"/>
  </r>
  <r>
    <x v="5"/>
    <s v="Southeast Kentucky Community and Technical College"/>
    <m/>
    <n v="157739"/>
    <x v="7"/>
    <s v="sem"/>
    <s v="sem"/>
    <m/>
    <m/>
    <n v="34902"/>
    <n v="32887"/>
    <n v="4163"/>
    <n v="4019"/>
    <n v="37022"/>
    <n v="35094"/>
    <n v="76087"/>
    <n v="2536.2333333333331"/>
    <n v="72000"/>
    <n v="2400"/>
    <n v="5682"/>
    <n v="5024"/>
    <n v="76087"/>
    <n v="72000"/>
    <m/>
    <m/>
    <m/>
    <m/>
    <m/>
    <m/>
    <m/>
    <m/>
    <n v="0"/>
    <n v="0"/>
    <n v="0"/>
    <n v="0"/>
    <m/>
    <m/>
    <n v="0"/>
    <n v="0"/>
  </r>
  <r>
    <x v="5"/>
    <s v="West Kentucky Community and Technical College"/>
    <m/>
    <n v="157483"/>
    <x v="7"/>
    <s v="sem"/>
    <s v="sem"/>
    <m/>
    <m/>
    <n v="50478"/>
    <n v="54242"/>
    <n v="11569"/>
    <n v="11607"/>
    <n v="60405"/>
    <n v="62468"/>
    <n v="122452"/>
    <n v="4081.7333333333331"/>
    <n v="128317"/>
    <n v="4277.2333333333336"/>
    <n v="9892"/>
    <n v="10705"/>
    <n v="122452"/>
    <n v="128317"/>
    <m/>
    <m/>
    <m/>
    <m/>
    <m/>
    <m/>
    <m/>
    <m/>
    <n v="0"/>
    <n v="0"/>
    <n v="0"/>
    <n v="0"/>
    <m/>
    <m/>
    <n v="0"/>
    <n v="0"/>
  </r>
  <r>
    <x v="5"/>
    <s v="Hazard Community and Technical College"/>
    <s v="Met the criteria for classification as a Two-Year 2 in 2010-11 and 2011-12."/>
    <n v="156790"/>
    <x v="8"/>
    <s v="sem"/>
    <s v="sem"/>
    <m/>
    <m/>
    <n v="29902"/>
    <n v="29430"/>
    <n v="5178"/>
    <n v="5648"/>
    <n v="34598"/>
    <n v="33285"/>
    <n v="69678"/>
    <n v="2322.6"/>
    <n v="68363"/>
    <n v="2278.7666666666669"/>
    <n v="4195"/>
    <n v="4848"/>
    <n v="69678"/>
    <n v="68363"/>
    <m/>
    <m/>
    <m/>
    <m/>
    <m/>
    <m/>
    <m/>
    <m/>
    <n v="0"/>
    <n v="0"/>
    <n v="0"/>
    <n v="0"/>
    <m/>
    <m/>
    <n v="0"/>
    <n v="0"/>
  </r>
  <r>
    <x v="5"/>
    <s v="Henderson Community College "/>
    <m/>
    <n v="156851"/>
    <x v="8"/>
    <s v="sem"/>
    <s v="sem"/>
    <m/>
    <m/>
    <n v="19450"/>
    <n v="18837"/>
    <n v="5087"/>
    <n v="3798"/>
    <n v="20657"/>
    <n v="20600"/>
    <n v="45194"/>
    <n v="1506.4666666666667"/>
    <n v="43235"/>
    <n v="1441.1666666666667"/>
    <n v="1553"/>
    <n v="1619"/>
    <n v="45194"/>
    <n v="43235"/>
    <m/>
    <m/>
    <m/>
    <m/>
    <m/>
    <m/>
    <m/>
    <m/>
    <n v="0"/>
    <n v="0"/>
    <n v="0"/>
    <n v="0"/>
    <m/>
    <m/>
    <n v="0"/>
    <n v="0"/>
  </r>
  <r>
    <x v="5"/>
    <s v="Bowling Green Technical College"/>
    <m/>
    <n v="156338"/>
    <x v="9"/>
    <s v="sem"/>
    <s v="sem"/>
    <m/>
    <m/>
    <n v="28577"/>
    <n v="29052"/>
    <n v="5207"/>
    <n v="4837"/>
    <n v="33729"/>
    <n v="35470"/>
    <n v="67513"/>
    <n v="2250.4333333333334"/>
    <n v="69359"/>
    <n v="2311.9666666666667"/>
    <n v="5391"/>
    <n v="5845"/>
    <n v="67513"/>
    <n v="69359"/>
    <m/>
    <m/>
    <m/>
    <m/>
    <m/>
    <m/>
    <m/>
    <m/>
    <n v="0"/>
    <n v="0"/>
    <n v="0"/>
    <n v="0"/>
    <m/>
    <m/>
    <n v="0"/>
    <n v="0"/>
  </r>
  <r>
    <x v="5"/>
    <s v="Gateway Community and Technical College"/>
    <m/>
    <n v="157438"/>
    <x v="9"/>
    <s v="sem"/>
    <s v="sem"/>
    <m/>
    <m/>
    <n v="29450"/>
    <n v="32870"/>
    <n v="6093"/>
    <n v="7251"/>
    <n v="34479"/>
    <n v="35036"/>
    <n v="70022"/>
    <n v="2334.0666666666666"/>
    <n v="75157"/>
    <n v="2505.2333333333331"/>
    <n v="3294"/>
    <n v="3290"/>
    <n v="70022"/>
    <n v="75157"/>
    <m/>
    <m/>
    <m/>
    <m/>
    <m/>
    <m/>
    <m/>
    <m/>
    <n v="0"/>
    <n v="0"/>
    <n v="0"/>
    <n v="0"/>
    <m/>
    <m/>
    <n v="0"/>
    <n v="0"/>
  </r>
  <r>
    <x v="6"/>
    <s v="Louisiana State University and A&amp;M College"/>
    <m/>
    <n v="159391"/>
    <x v="0"/>
    <s v="sem"/>
    <s v="sem"/>
    <m/>
    <m/>
    <n v="314754"/>
    <n v="321960"/>
    <n v="43882"/>
    <n v="45694"/>
    <n v="360757"/>
    <n v="359983"/>
    <n v="719393"/>
    <n v="23979.766666666666"/>
    <n v="727637"/>
    <n v="24254.566666666666"/>
    <n v="741"/>
    <n v="1574"/>
    <n v="719393"/>
    <n v="727637"/>
    <m/>
    <m/>
    <m/>
    <m/>
    <m/>
    <m/>
    <m/>
    <m/>
    <n v="0"/>
    <n v="0"/>
    <n v="0"/>
    <n v="0"/>
    <m/>
    <m/>
    <n v="0"/>
    <n v="0"/>
  </r>
  <r>
    <x v="6"/>
    <s v="Louisiana Tech University "/>
    <m/>
    <n v="159647"/>
    <x v="1"/>
    <s v="quar"/>
    <s v="quar"/>
    <n v="66739"/>
    <n v="67969"/>
    <n v="67368"/>
    <n v="69219"/>
    <n v="18309"/>
    <n v="17543"/>
    <n v="77925"/>
    <n v="79602"/>
    <n v="230341"/>
    <n v="5118.6888888888889"/>
    <n v="234333"/>
    <n v="5207.3999999999996"/>
    <n v="7536"/>
    <n v="10075"/>
    <n v="230341"/>
    <n v="234333"/>
    <m/>
    <m/>
    <m/>
    <m/>
    <m/>
    <m/>
    <m/>
    <m/>
    <n v="0"/>
    <n v="0"/>
    <n v="0"/>
    <n v="0"/>
    <m/>
    <m/>
    <n v="0"/>
    <n v="0"/>
  </r>
  <r>
    <x v="6"/>
    <s v="University of Louisiana at Lafayette"/>
    <m/>
    <n v="160658"/>
    <x v="1"/>
    <s v="sem"/>
    <s v="sem"/>
    <m/>
    <m/>
    <n v="180216"/>
    <n v="183146"/>
    <n v="25131"/>
    <n v="25735"/>
    <n v="200856"/>
    <n v="201949"/>
    <n v="406203"/>
    <n v="13540.1"/>
    <n v="410830"/>
    <n v="13694.333333333334"/>
    <n v="1016"/>
    <n v="992"/>
    <n v="406203"/>
    <n v="410830"/>
    <m/>
    <m/>
    <m/>
    <m/>
    <m/>
    <m/>
    <m/>
    <m/>
    <n v="0"/>
    <n v="0"/>
    <n v="0"/>
    <n v="0"/>
    <m/>
    <m/>
    <n v="0"/>
    <n v="0"/>
  </r>
  <r>
    <x v="6"/>
    <s v="University of New Orleans"/>
    <m/>
    <n v="159939"/>
    <x v="1"/>
    <s v="sem"/>
    <s v="sem"/>
    <m/>
    <m/>
    <n v="100002"/>
    <n v="96961"/>
    <n v="20710"/>
    <n v="18653"/>
    <n v="103245"/>
    <n v="101303"/>
    <n v="223957"/>
    <n v="7465.2333333333336"/>
    <n v="216917"/>
    <n v="7230.5666666666666"/>
    <n v="527"/>
    <n v="613"/>
    <n v="223957"/>
    <n v="216917"/>
    <m/>
    <m/>
    <m/>
    <m/>
    <m/>
    <m/>
    <m/>
    <m/>
    <n v="0"/>
    <n v="0"/>
    <n v="0"/>
    <n v="0"/>
    <m/>
    <m/>
    <n v="0"/>
    <n v="0"/>
  </r>
  <r>
    <x v="6"/>
    <s v="Southeastern Louisiana University "/>
    <m/>
    <n v="160612"/>
    <x v="2"/>
    <s v="sem"/>
    <s v="sem"/>
    <m/>
    <m/>
    <n v="165107"/>
    <n v="166891"/>
    <n v="26223"/>
    <n v="25518"/>
    <n v="180803"/>
    <n v="175070"/>
    <n v="372133"/>
    <n v="12404.433333333332"/>
    <n v="367479"/>
    <n v="12249.3"/>
    <n v="5534"/>
    <n v="9364"/>
    <n v="372133"/>
    <n v="367479"/>
    <m/>
    <m/>
    <m/>
    <m/>
    <m/>
    <m/>
    <m/>
    <m/>
    <n v="0"/>
    <n v="0"/>
    <n v="0"/>
    <n v="0"/>
    <m/>
    <m/>
    <n v="0"/>
    <n v="0"/>
  </r>
  <r>
    <x v="6"/>
    <s v="Southern University and A&amp;M College at Baton Rouge "/>
    <m/>
    <n v="160621"/>
    <x v="2"/>
    <s v="sem"/>
    <s v="sem"/>
    <m/>
    <m/>
    <n v="83163"/>
    <n v="79786"/>
    <n v="17179"/>
    <n v="17343"/>
    <n v="86109"/>
    <n v="78761"/>
    <n v="186451"/>
    <n v="6215.0333333333338"/>
    <n v="175890"/>
    <n v="5863"/>
    <n v="51"/>
    <n v="219"/>
    <n v="186451"/>
    <n v="175890"/>
    <m/>
    <m/>
    <m/>
    <m/>
    <m/>
    <m/>
    <m/>
    <m/>
    <n v="0"/>
    <n v="0"/>
    <n v="0"/>
    <n v="0"/>
    <m/>
    <m/>
    <n v="0"/>
    <n v="0"/>
  </r>
  <r>
    <x v="6"/>
    <s v="University of Louisiana at Monroe"/>
    <m/>
    <n v="159993"/>
    <x v="2"/>
    <s v="sem"/>
    <s v="sem"/>
    <m/>
    <n v="2599"/>
    <n v="83814"/>
    <n v="76512"/>
    <n v="19490"/>
    <n v="25494"/>
    <n v="88191"/>
    <n v="86222"/>
    <n v="191495"/>
    <n v="6383.166666666667"/>
    <n v="190827"/>
    <n v="6360.9"/>
    <n v="7251"/>
    <n v="8899"/>
    <n v="191495"/>
    <n v="190827"/>
    <m/>
    <m/>
    <m/>
    <m/>
    <m/>
    <m/>
    <m/>
    <m/>
    <n v="0"/>
    <n v="0"/>
    <n v="0"/>
    <n v="0"/>
    <m/>
    <m/>
    <n v="0"/>
    <n v="0"/>
  </r>
  <r>
    <x v="6"/>
    <s v="Grambling State University"/>
    <m/>
    <n v="159009"/>
    <x v="3"/>
    <s v="sem"/>
    <s v="sem"/>
    <m/>
    <m/>
    <n v="57435"/>
    <n v="57133"/>
    <n v="14025"/>
    <n v="15132"/>
    <n v="60178"/>
    <n v="61060"/>
    <n v="131638"/>
    <n v="4387.9333333333334"/>
    <n v="133325"/>
    <n v="4444.166666666667"/>
    <n v="108"/>
    <n v="129"/>
    <n v="131638"/>
    <n v="133325"/>
    <m/>
    <m/>
    <m/>
    <m/>
    <m/>
    <m/>
    <m/>
    <m/>
    <n v="0"/>
    <n v="0"/>
    <n v="0"/>
    <n v="0"/>
    <m/>
    <m/>
    <n v="0"/>
    <n v="0"/>
  </r>
  <r>
    <x v="6"/>
    <s v="Louisiana State University in Shreveport"/>
    <m/>
    <n v="159416"/>
    <x v="3"/>
    <s v="sem"/>
    <s v="sem"/>
    <m/>
    <m/>
    <n v="42112"/>
    <n v="40140"/>
    <n v="9599"/>
    <n v="9056"/>
    <n v="41695"/>
    <n v="42238"/>
    <n v="93406"/>
    <n v="3113.5333333333333"/>
    <n v="91434"/>
    <n v="3047.8"/>
    <n v="5849"/>
    <n v="7771"/>
    <n v="93406"/>
    <n v="91434"/>
    <m/>
    <m/>
    <m/>
    <m/>
    <m/>
    <m/>
    <m/>
    <m/>
    <n v="0"/>
    <n v="0"/>
    <n v="0"/>
    <n v="0"/>
    <m/>
    <m/>
    <n v="0"/>
    <n v="0"/>
  </r>
  <r>
    <x v="6"/>
    <s v="McNeese State University"/>
    <m/>
    <n v="159717"/>
    <x v="3"/>
    <s v="sem"/>
    <s v="sem"/>
    <m/>
    <m/>
    <n v="96649"/>
    <n v="99274"/>
    <n v="12455"/>
    <n v="13537"/>
    <n v="105813"/>
    <n v="105150"/>
    <n v="214917"/>
    <n v="7163.9"/>
    <n v="217961"/>
    <n v="7265.3666666666668"/>
    <n v="4559"/>
    <n v="5793"/>
    <n v="214917"/>
    <n v="217961"/>
    <m/>
    <m/>
    <m/>
    <m/>
    <m/>
    <m/>
    <m/>
    <m/>
    <n v="0"/>
    <n v="0"/>
    <n v="0"/>
    <n v="0"/>
    <m/>
    <m/>
    <n v="0"/>
    <n v="0"/>
  </r>
  <r>
    <x v="6"/>
    <s v="Nicholls State University "/>
    <m/>
    <n v="159966"/>
    <x v="3"/>
    <s v="sem"/>
    <s v="sem"/>
    <m/>
    <m/>
    <n v="79754"/>
    <n v="77075"/>
    <n v="17327"/>
    <n v="16318"/>
    <n v="84180"/>
    <n v="81554"/>
    <n v="181261"/>
    <n v="6042.0333333333338"/>
    <n v="174947"/>
    <n v="5831.5666666666666"/>
    <n v="1376"/>
    <n v="1011"/>
    <n v="181261"/>
    <n v="174947"/>
    <m/>
    <m/>
    <m/>
    <m/>
    <m/>
    <m/>
    <m/>
    <m/>
    <n v="0"/>
    <n v="0"/>
    <n v="0"/>
    <n v="0"/>
    <m/>
    <m/>
    <n v="0"/>
    <n v="0"/>
  </r>
  <r>
    <x v="6"/>
    <s v="Northwestern State University"/>
    <m/>
    <n v="160038"/>
    <x v="3"/>
    <s v="sem"/>
    <s v="sem"/>
    <m/>
    <m/>
    <n v="95721"/>
    <n v="93649"/>
    <n v="22829"/>
    <n v="22572"/>
    <n v="100213"/>
    <n v="99684"/>
    <n v="218763"/>
    <n v="7292.1"/>
    <n v="215905"/>
    <n v="7196.833333333333"/>
    <n v="5110"/>
    <n v="5488"/>
    <n v="218763"/>
    <n v="215905"/>
    <m/>
    <m/>
    <m/>
    <m/>
    <m/>
    <m/>
    <m/>
    <m/>
    <n v="0"/>
    <n v="0"/>
    <n v="0"/>
    <n v="0"/>
    <m/>
    <m/>
    <n v="0"/>
    <n v="0"/>
  </r>
  <r>
    <x v="6"/>
    <s v="Southern University at New Orleans"/>
    <m/>
    <n v="160630"/>
    <x v="3"/>
    <s v="sem"/>
    <s v="sem"/>
    <m/>
    <m/>
    <n v="33042"/>
    <n v="33100"/>
    <n v="8851"/>
    <n v="5563"/>
    <n v="33354"/>
    <n v="38090"/>
    <n v="75247"/>
    <n v="2508.2333333333331"/>
    <n v="76753"/>
    <n v="2558.4333333333334"/>
    <n v="192"/>
    <n v="1353"/>
    <n v="75247"/>
    <n v="76753"/>
    <m/>
    <m/>
    <m/>
    <m/>
    <m/>
    <m/>
    <m/>
    <m/>
    <n v="0"/>
    <n v="0"/>
    <n v="0"/>
    <n v="0"/>
    <m/>
    <m/>
    <n v="0"/>
    <n v="0"/>
  </r>
  <r>
    <x v="6"/>
    <s v="Louisiana State University at Alexandria"/>
    <s v="Reclassified: Met the criteria for Four-Year 6 in 2009-10, 2010-11 and 2011-12."/>
    <n v="159382"/>
    <x v="5"/>
    <s v="sem"/>
    <s v="sem"/>
    <m/>
    <m/>
    <n v="24647"/>
    <n v="24708"/>
    <n v="5191"/>
    <n v="5137"/>
    <n v="26666"/>
    <n v="26009"/>
    <n v="56504"/>
    <n v="1883.4666666666667"/>
    <n v="55854"/>
    <n v="1861.8"/>
    <n v="2502"/>
    <n v="2930"/>
    <n v="56504"/>
    <n v="55854"/>
    <m/>
    <m/>
    <m/>
    <m/>
    <m/>
    <m/>
    <m/>
    <m/>
    <n v="0"/>
    <n v="0"/>
    <n v="0"/>
    <n v="0"/>
    <m/>
    <m/>
    <n v="0"/>
    <n v="0"/>
  </r>
  <r>
    <x v="6"/>
    <s v="Baton Rouge Community College"/>
    <m/>
    <n v="437103"/>
    <x v="6"/>
    <s v="sem"/>
    <s v="sem"/>
    <m/>
    <m/>
    <n v="79050"/>
    <n v="77210"/>
    <n v="3674"/>
    <n v="11789"/>
    <n v="80608"/>
    <n v="81813"/>
    <n v="163332"/>
    <n v="5444.4"/>
    <n v="170812"/>
    <n v="5693.7333333333336"/>
    <n v="1938"/>
    <n v="2302"/>
    <n v="163332"/>
    <n v="170812"/>
    <m/>
    <m/>
    <m/>
    <m/>
    <m/>
    <m/>
    <m/>
    <m/>
    <n v="0"/>
    <n v="0"/>
    <n v="0"/>
    <n v="0"/>
    <m/>
    <m/>
    <n v="0"/>
    <n v="0"/>
  </r>
  <r>
    <x v="6"/>
    <s v="Delgado Community College "/>
    <m/>
    <n v="158662"/>
    <x v="6"/>
    <s v="sem"/>
    <s v="sem"/>
    <m/>
    <m/>
    <n v="181166"/>
    <n v="186202"/>
    <n v="41163"/>
    <n v="42309"/>
    <n v="187861"/>
    <n v="200159"/>
    <n v="410190"/>
    <n v="13673"/>
    <n v="428670"/>
    <n v="14289"/>
    <n v="1392"/>
    <n v="1393"/>
    <n v="410190"/>
    <n v="428670"/>
    <m/>
    <m/>
    <m/>
    <m/>
    <m/>
    <m/>
    <m/>
    <m/>
    <n v="0"/>
    <n v="0"/>
    <n v="0"/>
    <n v="0"/>
    <m/>
    <m/>
    <n v="0"/>
    <n v="0"/>
  </r>
  <r>
    <x v="6"/>
    <s v="Bossier Parish Community College"/>
    <s v="Met the criteria for Two-Year 1 in 2010-11 and 2011-12."/>
    <n v="158431"/>
    <x v="7"/>
    <s v="sem"/>
    <s v="sem"/>
    <m/>
    <m/>
    <n v="56719"/>
    <n v="68306"/>
    <n v="14585"/>
    <n v="17609"/>
    <n v="68692"/>
    <n v="74088"/>
    <n v="139996"/>
    <n v="4666.5333333333338"/>
    <n v="160003"/>
    <n v="5333.4333333333334"/>
    <n v="3945"/>
    <n v="2967"/>
    <n v="139996"/>
    <n v="160003"/>
    <m/>
    <m/>
    <m/>
    <m/>
    <m/>
    <m/>
    <m/>
    <m/>
    <n v="0"/>
    <n v="0"/>
    <n v="0"/>
    <n v="0"/>
    <m/>
    <m/>
    <n v="0"/>
    <n v="0"/>
  </r>
  <r>
    <x v="6"/>
    <s v="Louisiana State University at Eunice"/>
    <m/>
    <n v="159407"/>
    <x v="7"/>
    <s v="sem"/>
    <s v="sem"/>
    <m/>
    <m/>
    <n v="30491"/>
    <n v="29837"/>
    <n v="5031"/>
    <n v="4759"/>
    <n v="31718"/>
    <n v="28751"/>
    <n v="67240"/>
    <n v="2241.3333333333335"/>
    <n v="63347"/>
    <n v="2111.5666666666666"/>
    <n v="3776"/>
    <n v="3237"/>
    <n v="67240"/>
    <n v="63347"/>
    <m/>
    <m/>
    <m/>
    <m/>
    <m/>
    <m/>
    <m/>
    <m/>
    <n v="0"/>
    <n v="0"/>
    <n v="0"/>
    <n v="0"/>
    <m/>
    <m/>
    <n v="0"/>
    <n v="0"/>
  </r>
  <r>
    <x v="6"/>
    <s v="South Louisiana Community College"/>
    <m/>
    <n v="434061"/>
    <x v="7"/>
    <s v="sem"/>
    <s v="sem"/>
    <m/>
    <m/>
    <n v="32701"/>
    <n v="35271"/>
    <n v="7383"/>
    <n v="7912"/>
    <n v="38836"/>
    <n v="36145"/>
    <n v="78920"/>
    <n v="2630.6666666666665"/>
    <n v="79328"/>
    <n v="2644.2666666666669"/>
    <n v="6214"/>
    <n v="5705"/>
    <n v="78920"/>
    <n v="79328"/>
    <m/>
    <m/>
    <m/>
    <m/>
    <m/>
    <m/>
    <m/>
    <m/>
    <n v="0"/>
    <n v="0"/>
    <n v="0"/>
    <n v="0"/>
    <m/>
    <m/>
    <n v="0"/>
    <n v="0"/>
  </r>
  <r>
    <x v="6"/>
    <s v="Louisiana Delta Community College"/>
    <s v="Met the criteria for Two-Year 2 in 2011-12."/>
    <n v="440624"/>
    <x v="8"/>
    <s v="sem"/>
    <s v="sem"/>
    <m/>
    <m/>
    <n v="17661"/>
    <n v="26832"/>
    <n v="5311"/>
    <n v="6985"/>
    <n v="25519"/>
    <n v="29062"/>
    <n v="48491"/>
    <n v="1616.3666666666666"/>
    <n v="62879"/>
    <n v="2095.9666666666667"/>
    <n v="2402"/>
    <n v="3654"/>
    <n v="48491"/>
    <n v="62879"/>
    <m/>
    <m/>
    <m/>
    <m/>
    <m/>
    <m/>
    <m/>
    <m/>
    <n v="0"/>
    <n v="0"/>
    <n v="0"/>
    <n v="0"/>
    <m/>
    <m/>
    <n v="0"/>
    <n v="0"/>
  </r>
  <r>
    <x v="6"/>
    <s v="Nunez Community College"/>
    <m/>
    <n v="158884"/>
    <x v="8"/>
    <s v="sem"/>
    <s v="sem"/>
    <m/>
    <m/>
    <n v="15559"/>
    <n v="18029"/>
    <n v="3739"/>
    <n v="4186"/>
    <n v="19304"/>
    <n v="19942"/>
    <n v="38602"/>
    <n v="1286.7333333333333"/>
    <n v="42157"/>
    <n v="1405.2333333333333"/>
    <n v="5001"/>
    <n v="5250"/>
    <n v="38602"/>
    <n v="42157"/>
    <m/>
    <m/>
    <m/>
    <m/>
    <m/>
    <m/>
    <m/>
    <m/>
    <n v="0"/>
    <n v="0"/>
    <n v="0"/>
    <n v="0"/>
    <m/>
    <m/>
    <n v="0"/>
    <n v="0"/>
  </r>
  <r>
    <x v="6"/>
    <s v="River Parishes Community College"/>
    <m/>
    <n v="436304"/>
    <x v="8"/>
    <s v="sem"/>
    <s v="sem"/>
    <m/>
    <m/>
    <n v="13852"/>
    <n v="21170"/>
    <n v="4614"/>
    <n v="5848"/>
    <n v="22698"/>
    <n v="23260"/>
    <n v="41164"/>
    <n v="1372.1333333333334"/>
    <n v="50278"/>
    <n v="1675.9333333333334"/>
    <n v="3865"/>
    <n v="5390"/>
    <n v="41164"/>
    <n v="50278"/>
    <m/>
    <m/>
    <m/>
    <m/>
    <m/>
    <m/>
    <m/>
    <m/>
    <n v="0"/>
    <n v="0"/>
    <n v="0"/>
    <n v="0"/>
    <m/>
    <m/>
    <n v="0"/>
    <n v="0"/>
  </r>
  <r>
    <x v="6"/>
    <s v="Southern University in Shreveport"/>
    <s v="Met the criteria for Two-Year 2 in 2011-12."/>
    <n v="160649"/>
    <x v="8"/>
    <s v="sem"/>
    <s v="sem"/>
    <m/>
    <m/>
    <n v="31691"/>
    <n v="29670"/>
    <n v="8550"/>
    <n v="7467"/>
    <n v="61604"/>
    <n v="32460"/>
    <n v="101845"/>
    <n v="3394.8333333333335"/>
    <n v="69597"/>
    <n v="2319.9"/>
    <n v="2424"/>
    <n v="2125"/>
    <n v="101845"/>
    <n v="69597"/>
    <m/>
    <m/>
    <m/>
    <m/>
    <m/>
    <m/>
    <m/>
    <m/>
    <n v="0"/>
    <n v="0"/>
    <n v="0"/>
    <n v="0"/>
    <m/>
    <m/>
    <n v="0"/>
    <n v="0"/>
  </r>
  <r>
    <x v="6"/>
    <s v="Acadiana Technical College"/>
    <m/>
    <n v="159443"/>
    <x v="9"/>
    <s v="sem"/>
    <s v="sem"/>
    <m/>
    <m/>
    <n v="40928"/>
    <n v="41514.5"/>
    <n v="14368"/>
    <n v="14624"/>
    <n v="47398"/>
    <n v="39129"/>
    <n v="102694"/>
    <n v="3423.1333333333332"/>
    <n v="95267.5"/>
    <n v="3175.5833333333335"/>
    <n v="12199"/>
    <n v="7039"/>
    <n v="102694"/>
    <n v="95267.5"/>
    <m/>
    <m/>
    <m/>
    <m/>
    <m/>
    <m/>
    <m/>
    <m/>
    <n v="0"/>
    <n v="0"/>
    <n v="0"/>
    <n v="0"/>
    <m/>
    <m/>
    <n v="0"/>
    <n v="0"/>
  </r>
  <r>
    <x v="6"/>
    <s v="Capital Area Technical College"/>
    <m/>
    <n v="158352"/>
    <x v="9"/>
    <s v="sem"/>
    <s v="sem"/>
    <m/>
    <m/>
    <n v="30979"/>
    <n v="31009.5"/>
    <n v="11509"/>
    <n v="9633"/>
    <n v="34248"/>
    <n v="33874"/>
    <n v="76736"/>
    <n v="2557.8666666666668"/>
    <n v="74516.5"/>
    <n v="2483.8833333333332"/>
    <n v="11999"/>
    <n v="13208"/>
    <n v="76736"/>
    <n v="74516.5"/>
    <m/>
    <m/>
    <m/>
    <m/>
    <m/>
    <m/>
    <m/>
    <m/>
    <n v="0"/>
    <n v="0"/>
    <n v="0"/>
    <n v="0"/>
    <m/>
    <m/>
    <n v="0"/>
    <n v="0"/>
  </r>
  <r>
    <x v="6"/>
    <s v="Central LA Technical College"/>
    <m/>
    <n v="158088"/>
    <x v="9"/>
    <s v="sem"/>
    <s v="sem"/>
    <m/>
    <m/>
    <n v="31852"/>
    <n v="26500.5"/>
    <n v="11768"/>
    <n v="10503.5"/>
    <n v="35871"/>
    <n v="25255"/>
    <n v="79491"/>
    <n v="2649.7"/>
    <n v="62259"/>
    <n v="2075.3000000000002"/>
    <n v="9278"/>
    <n v="5387"/>
    <n v="79491"/>
    <n v="62259"/>
    <m/>
    <m/>
    <m/>
    <m/>
    <m/>
    <m/>
    <m/>
    <m/>
    <n v="0"/>
    <n v="0"/>
    <n v="0"/>
    <n v="0"/>
    <m/>
    <m/>
    <n v="0"/>
    <n v="0"/>
  </r>
  <r>
    <x v="6"/>
    <s v="L.E. Fletcher Technical Community College"/>
    <s v="Reclassified: Met the criteria for Technical Institute or College 1 in 2009-10, 2010-11 and 2011-12."/>
    <n v="160481"/>
    <x v="9"/>
    <s v="sem"/>
    <s v="sem"/>
    <m/>
    <m/>
    <n v="15635"/>
    <n v="18142"/>
    <n v="3769"/>
    <n v="3769"/>
    <n v="21478"/>
    <n v="22951"/>
    <n v="40882"/>
    <n v="1362.7333333333333"/>
    <n v="44862"/>
    <n v="1495.4"/>
    <n v="1320"/>
    <n v="1101"/>
    <n v="40882"/>
    <n v="44862"/>
    <m/>
    <m/>
    <m/>
    <m/>
    <m/>
    <m/>
    <m/>
    <m/>
    <n v="0"/>
    <n v="0"/>
    <n v="0"/>
    <n v="0"/>
    <m/>
    <m/>
    <n v="0"/>
    <n v="0"/>
  </r>
  <r>
    <x v="6"/>
    <s v="Northeast Technical College"/>
    <m/>
    <n v="158769"/>
    <x v="9"/>
    <s v="sem"/>
    <s v="sem"/>
    <m/>
    <m/>
    <n v="25454"/>
    <n v="15188"/>
    <n v="7698"/>
    <n v="6115"/>
    <n v="18284"/>
    <n v="15907"/>
    <n v="51436"/>
    <n v="1714.5333333333333"/>
    <n v="37210"/>
    <n v="1240.3333333333333"/>
    <n v="7723"/>
    <n v="2807"/>
    <n v="51436"/>
    <n v="37210"/>
    <m/>
    <m/>
    <m/>
    <m/>
    <m/>
    <m/>
    <m/>
    <m/>
    <n v="0"/>
    <n v="0"/>
    <n v="0"/>
    <n v="0"/>
    <m/>
    <m/>
    <n v="0"/>
    <n v="0"/>
  </r>
  <r>
    <x v="6"/>
    <s v="Northshore Technical College"/>
    <m/>
    <n v="160667"/>
    <x v="9"/>
    <s v="sem"/>
    <s v="sem"/>
    <m/>
    <m/>
    <n v="30575"/>
    <n v="25958.5"/>
    <n v="7223"/>
    <n v="7698.5"/>
    <n v="28175"/>
    <n v="27292"/>
    <n v="65973"/>
    <n v="2199.1"/>
    <n v="60949"/>
    <n v="2031.6333333333334"/>
    <n v="16886"/>
    <n v="12471"/>
    <n v="65973"/>
    <n v="60949"/>
    <m/>
    <m/>
    <m/>
    <m/>
    <m/>
    <m/>
    <m/>
    <m/>
    <n v="0"/>
    <n v="0"/>
    <n v="0"/>
    <n v="0"/>
    <m/>
    <m/>
    <n v="0"/>
    <n v="0"/>
  </r>
  <r>
    <x v="6"/>
    <s v="Northwest LA Technical College"/>
    <m/>
    <n v="160010"/>
    <x v="9"/>
    <s v="sem"/>
    <s v="sem"/>
    <m/>
    <m/>
    <n v="30782"/>
    <n v="26921.5"/>
    <n v="11629"/>
    <n v="10637"/>
    <n v="29338"/>
    <n v="27743"/>
    <n v="71749"/>
    <n v="2391.6333333333332"/>
    <n v="65301.5"/>
    <n v="2176.7166666666667"/>
    <n v="6959"/>
    <n v="7735"/>
    <n v="71749"/>
    <n v="65301.5"/>
    <m/>
    <m/>
    <m/>
    <m/>
    <m/>
    <m/>
    <m/>
    <m/>
    <n v="0"/>
    <n v="0"/>
    <n v="0"/>
    <n v="0"/>
    <m/>
    <m/>
    <n v="0"/>
    <n v="0"/>
  </r>
  <r>
    <x v="6"/>
    <s v="South Central LA Technical College"/>
    <m/>
    <n v="160913"/>
    <x v="9"/>
    <s v="sem"/>
    <s v="sem"/>
    <m/>
    <m/>
    <n v="19251"/>
    <n v="22715"/>
    <n v="5508"/>
    <n v="4942"/>
    <n v="22691"/>
    <n v="23424"/>
    <n v="47450"/>
    <n v="1581.6666666666667"/>
    <n v="51081"/>
    <n v="1702.7"/>
    <n v="12026"/>
    <n v="17017"/>
    <n v="47450"/>
    <n v="51081"/>
    <m/>
    <m/>
    <m/>
    <m/>
    <m/>
    <m/>
    <m/>
    <m/>
    <n v="0"/>
    <n v="0"/>
    <n v="0"/>
    <n v="0"/>
    <m/>
    <m/>
    <n v="0"/>
    <n v="0"/>
  </r>
  <r>
    <x v="6"/>
    <s v="Sowela Technical Community College"/>
    <m/>
    <n v="160579"/>
    <x v="9"/>
    <s v="sem"/>
    <s v="sem"/>
    <m/>
    <m/>
    <n v="24073"/>
    <n v="29361"/>
    <n v="6128"/>
    <n v="7631"/>
    <n v="28314"/>
    <n v="31326"/>
    <n v="58515"/>
    <n v="1950.5"/>
    <n v="68318"/>
    <n v="2277.2666666666669"/>
    <n v="2079"/>
    <n v="4879"/>
    <n v="58515"/>
    <n v="68318"/>
    <m/>
    <m/>
    <m/>
    <m/>
    <m/>
    <m/>
    <m/>
    <m/>
    <n v="0"/>
    <n v="0"/>
    <n v="0"/>
    <n v="0"/>
    <m/>
    <m/>
    <n v="0"/>
    <n v="0"/>
  </r>
  <r>
    <x v="7"/>
    <s v="University of Maryland College Park"/>
    <m/>
    <n v="163286"/>
    <x v="0"/>
    <s v="sem"/>
    <s v="sem"/>
    <n v="11693"/>
    <n v="12603"/>
    <n v="367102"/>
    <n v="369475"/>
    <n v="39478"/>
    <n v="38207"/>
    <n v="380945"/>
    <n v="379654"/>
    <n v="799218"/>
    <n v="26640.6"/>
    <n v="799939"/>
    <n v="26664.633333333335"/>
    <m/>
    <m/>
    <n v="0"/>
    <n v="0"/>
    <m/>
    <m/>
    <m/>
    <m/>
    <m/>
    <m/>
    <m/>
    <m/>
    <n v="0"/>
    <n v="0"/>
    <n v="0"/>
    <n v="0"/>
    <m/>
    <m/>
    <n v="0"/>
    <n v="0"/>
  </r>
  <r>
    <x v="7"/>
    <s v="Morgan State University"/>
    <s v="Reclassified: Met the criteria for  Four-Year 2 in 2009-10, 2010-11 and 2011-12."/>
    <n v="163453"/>
    <x v="1"/>
    <s v="sem"/>
    <s v="sem"/>
    <n v="548"/>
    <n v="1117"/>
    <n v="85965"/>
    <n v="91176"/>
    <n v="2699"/>
    <n v="7556"/>
    <n v="92008"/>
    <n v="91204"/>
    <n v="181220"/>
    <n v="6040.666666666667"/>
    <n v="191053"/>
    <n v="6368.4333333333334"/>
    <m/>
    <m/>
    <n v="0"/>
    <n v="0"/>
    <m/>
    <m/>
    <m/>
    <m/>
    <m/>
    <m/>
    <m/>
    <m/>
    <n v="0"/>
    <n v="0"/>
    <n v="0"/>
    <n v="0"/>
    <m/>
    <m/>
    <n v="0"/>
    <n v="0"/>
  </r>
  <r>
    <x v="7"/>
    <s v="University of Maryland, Baltimore County"/>
    <m/>
    <n v="163268"/>
    <x v="1"/>
    <s v="sem"/>
    <s v="sem"/>
    <n v="4591"/>
    <n v="4810"/>
    <n v="129726.5"/>
    <n v="132978.5"/>
    <n v="16981.5"/>
    <n v="16631.5"/>
    <n v="139121.5"/>
    <n v="143350"/>
    <n v="290420.5"/>
    <n v="9680.6833333333325"/>
    <n v="297770"/>
    <n v="9925.6666666666661"/>
    <m/>
    <m/>
    <n v="0"/>
    <n v="0"/>
    <m/>
    <m/>
    <m/>
    <m/>
    <m/>
    <m/>
    <m/>
    <m/>
    <n v="0"/>
    <n v="0"/>
    <n v="0"/>
    <n v="0"/>
    <m/>
    <m/>
    <n v="0"/>
    <n v="0"/>
  </r>
  <r>
    <x v="7"/>
    <s v="Towson University "/>
    <m/>
    <n v="164076"/>
    <x v="2"/>
    <s v="sem"/>
    <s v="sem"/>
    <n v="6513"/>
    <n v="7090"/>
    <n v="229000"/>
    <n v="230185.5"/>
    <n v="27103"/>
    <n v="25979"/>
    <n v="244099.5"/>
    <n v="243052"/>
    <n v="506715.5"/>
    <n v="16890.516666666666"/>
    <n v="506306.5"/>
    <n v="16876.883333333335"/>
    <m/>
    <m/>
    <n v="0"/>
    <n v="0"/>
    <m/>
    <m/>
    <m/>
    <m/>
    <m/>
    <m/>
    <m/>
    <m/>
    <n v="0"/>
    <n v="0"/>
    <n v="0"/>
    <n v="0"/>
    <m/>
    <m/>
    <n v="0"/>
    <n v="0"/>
  </r>
  <r>
    <x v="7"/>
    <s v="Bowie State University "/>
    <m/>
    <n v="162007"/>
    <x v="3"/>
    <s v="sem"/>
    <s v="sem"/>
    <n v="1428"/>
    <n v="1098"/>
    <n v="55706"/>
    <n v="55954"/>
    <n v="4645"/>
    <n v="6095"/>
    <n v="59941"/>
    <n v="59470"/>
    <n v="121720"/>
    <n v="4057.3333333333335"/>
    <n v="122617"/>
    <n v="4087.2333333333331"/>
    <m/>
    <m/>
    <n v="0"/>
    <n v="0"/>
    <m/>
    <m/>
    <m/>
    <m/>
    <m/>
    <m/>
    <m/>
    <m/>
    <n v="0"/>
    <n v="0"/>
    <n v="0"/>
    <n v="0"/>
    <m/>
    <m/>
    <n v="0"/>
    <n v="0"/>
  </r>
  <r>
    <x v="7"/>
    <s v="Coppin State University"/>
    <s v="Met the criteria for Four-Year 5 in 2010-11 and 2011-12."/>
    <n v="162283"/>
    <x v="3"/>
    <s v="sem"/>
    <s v="sem"/>
    <n v="941"/>
    <n v="858"/>
    <n v="43335"/>
    <n v="41129"/>
    <n v="5706"/>
    <n v="6593"/>
    <n v="43485"/>
    <n v="42997"/>
    <n v="93467"/>
    <n v="3115.5666666666666"/>
    <n v="91577"/>
    <n v="3052.5666666666666"/>
    <m/>
    <m/>
    <n v="0"/>
    <n v="0"/>
    <m/>
    <m/>
    <m/>
    <m/>
    <m/>
    <m/>
    <m/>
    <m/>
    <n v="0"/>
    <n v="0"/>
    <n v="0"/>
    <n v="0"/>
    <m/>
    <m/>
    <n v="0"/>
    <n v="0"/>
  </r>
  <r>
    <x v="7"/>
    <s v="Frostburg State University "/>
    <m/>
    <n v="162584"/>
    <x v="3"/>
    <s v="sem"/>
    <s v="sem"/>
    <n v="2274"/>
    <n v="2341"/>
    <n v="62202.5"/>
    <n v="63707.5"/>
    <n v="4676"/>
    <n v="4869"/>
    <n v="67931.5"/>
    <n v="66062.5"/>
    <n v="137084"/>
    <n v="4569.4666666666662"/>
    <n v="136980"/>
    <n v="4566"/>
    <m/>
    <m/>
    <n v="0"/>
    <n v="0"/>
    <m/>
    <m/>
    <m/>
    <m/>
    <m/>
    <m/>
    <m/>
    <m/>
    <n v="0"/>
    <n v="0"/>
    <n v="0"/>
    <n v="0"/>
    <m/>
    <m/>
    <n v="0"/>
    <n v="0"/>
  </r>
  <r>
    <x v="7"/>
    <s v="Salisbury University "/>
    <m/>
    <n v="163851"/>
    <x v="3"/>
    <s v="sem"/>
    <s v="sem"/>
    <n v="6229"/>
    <n v="6016"/>
    <n v="103373"/>
    <n v="105704"/>
    <n v="6229"/>
    <n v="6776"/>
    <n v="110282"/>
    <n v="113357"/>
    <n v="226113"/>
    <n v="7537.1"/>
    <n v="231853"/>
    <n v="7728.4333333333334"/>
    <m/>
    <m/>
    <n v="0"/>
    <n v="0"/>
    <m/>
    <m/>
    <m/>
    <m/>
    <m/>
    <m/>
    <m/>
    <m/>
    <n v="0"/>
    <n v="0"/>
    <n v="0"/>
    <n v="0"/>
    <m/>
    <m/>
    <n v="0"/>
    <n v="0"/>
  </r>
  <r>
    <x v="7"/>
    <s v="University of Baltimore"/>
    <m/>
    <n v="161873"/>
    <x v="3"/>
    <s v="sem"/>
    <s v="sem"/>
    <n v="75"/>
    <n v="45"/>
    <n v="30411"/>
    <n v="32299"/>
    <n v="4508"/>
    <n v="4338"/>
    <n v="34339"/>
    <n v="34822"/>
    <n v="69333"/>
    <n v="2311.1"/>
    <n v="71504"/>
    <n v="2383.4666666666667"/>
    <m/>
    <m/>
    <n v="0"/>
    <n v="0"/>
    <m/>
    <m/>
    <m/>
    <m/>
    <m/>
    <m/>
    <m/>
    <m/>
    <n v="0"/>
    <n v="0"/>
    <n v="0"/>
    <n v="0"/>
    <m/>
    <m/>
    <n v="0"/>
    <n v="0"/>
  </r>
  <r>
    <x v="7"/>
    <s v="University of Maryland Eastern Shore "/>
    <m/>
    <n v="163338"/>
    <x v="3"/>
    <s v="sem"/>
    <s v="sem"/>
    <n v="1458"/>
    <n v="1412.5"/>
    <n v="53501"/>
    <n v="52785"/>
    <n v="4393"/>
    <n v="4186"/>
    <n v="58125"/>
    <n v="55688"/>
    <n v="117477"/>
    <n v="3915.9"/>
    <n v="114071.5"/>
    <n v="3802.3833333333332"/>
    <m/>
    <m/>
    <n v="0"/>
    <n v="0"/>
    <m/>
    <m/>
    <m/>
    <m/>
    <m/>
    <m/>
    <m/>
    <m/>
    <n v="0"/>
    <n v="0"/>
    <n v="0"/>
    <n v="0"/>
    <m/>
    <m/>
    <n v="0"/>
    <n v="0"/>
  </r>
  <r>
    <x v="7"/>
    <s v="Saint Mary's College of Maryland"/>
    <s v="Met the criteria for Four-Year 5 in 2010-11 and 2011-12."/>
    <n v="163912"/>
    <x v="5"/>
    <s v="sem"/>
    <s v="sem"/>
    <n v="0"/>
    <n v="0"/>
    <n v="29765"/>
    <n v="30983.5"/>
    <n v="1376"/>
    <n v="1368"/>
    <n v="31693.5"/>
    <n v="32801"/>
    <n v="62834.5"/>
    <n v="2094.4833333333331"/>
    <n v="65152.5"/>
    <n v="2171.75"/>
    <m/>
    <m/>
    <n v="0"/>
    <n v="0"/>
    <m/>
    <m/>
    <m/>
    <m/>
    <m/>
    <m/>
    <m/>
    <m/>
    <n v="0"/>
    <n v="0"/>
    <n v="0"/>
    <n v="0"/>
    <m/>
    <m/>
    <n v="0"/>
    <n v="0"/>
  </r>
  <r>
    <x v="7"/>
    <s v="Anne Arundel Community College "/>
    <m/>
    <n v="161767"/>
    <x v="6"/>
    <s v="sem"/>
    <s v="sem"/>
    <n v="3344"/>
    <n v="3846"/>
    <n v="136501"/>
    <n v="139707"/>
    <n v="36181.5"/>
    <n v="35448"/>
    <n v="153948"/>
    <n v="152723"/>
    <n v="329974.5"/>
    <n v="10999.15"/>
    <n v="331724"/>
    <n v="11057.466666666667"/>
    <m/>
    <m/>
    <n v="0"/>
    <n v="0"/>
    <m/>
    <m/>
    <m/>
    <m/>
    <m/>
    <m/>
    <m/>
    <m/>
    <n v="0"/>
    <n v="0"/>
    <n v="0"/>
    <n v="0"/>
    <m/>
    <m/>
    <n v="0"/>
    <n v="0"/>
  </r>
  <r>
    <x v="7"/>
    <s v="College of Southern Maryland"/>
    <s v="Reclassified: Met the criteria for Two-Year 1 in 2009-10, 2010-11, and 2011-12."/>
    <n v="162122"/>
    <x v="6"/>
    <s v="sem"/>
    <s v="sem"/>
    <n v="0"/>
    <n v="0"/>
    <n v="70123"/>
    <n v="72079"/>
    <n v="15041"/>
    <n v="16515"/>
    <n v="78902"/>
    <n v="81013"/>
    <n v="164066"/>
    <n v="5468.8666666666668"/>
    <n v="169607"/>
    <n v="5653.5666666666666"/>
    <m/>
    <m/>
    <n v="0"/>
    <n v="0"/>
    <m/>
    <m/>
    <m/>
    <m/>
    <m/>
    <m/>
    <m/>
    <m/>
    <n v="0"/>
    <n v="0"/>
    <n v="0"/>
    <n v="0"/>
    <m/>
    <m/>
    <n v="0"/>
    <n v="0"/>
  </r>
  <r>
    <x v="7"/>
    <s v="Community College of Baltimore County (all campuses)"/>
    <m/>
    <n v="434672"/>
    <x v="6"/>
    <s v="sem"/>
    <s v="sem"/>
    <n v="9749"/>
    <n v="9757"/>
    <n v="193428"/>
    <n v="200719.5"/>
    <n v="46022"/>
    <n v="44985.5"/>
    <n v="228185"/>
    <n v="227945.5"/>
    <n v="477384"/>
    <n v="15912.8"/>
    <n v="483407.5"/>
    <n v="16113.583333333334"/>
    <m/>
    <m/>
    <n v="0"/>
    <n v="0"/>
    <m/>
    <m/>
    <m/>
    <m/>
    <m/>
    <m/>
    <m/>
    <m/>
    <n v="0"/>
    <n v="0"/>
    <n v="0"/>
    <n v="0"/>
    <m/>
    <m/>
    <n v="0"/>
    <n v="0"/>
  </r>
  <r>
    <x v="7"/>
    <s v="Howard Community College "/>
    <s v="Reclassified: Met the criteria for Two-Year 1 in 2009-10, 2010-11, and 2011-12."/>
    <n v="162779"/>
    <x v="6"/>
    <s v="sem"/>
    <s v="sem"/>
    <n v="5343"/>
    <n v="6247"/>
    <n v="72145"/>
    <n v="77777"/>
    <n v="15859"/>
    <n v="18888"/>
    <n v="84499"/>
    <n v="88315"/>
    <n v="177846"/>
    <n v="5928.2"/>
    <n v="191227"/>
    <n v="6374.2333333333336"/>
    <m/>
    <m/>
    <n v="0"/>
    <n v="0"/>
    <m/>
    <m/>
    <m/>
    <m/>
    <m/>
    <m/>
    <m/>
    <m/>
    <n v="0"/>
    <n v="0"/>
    <n v="0"/>
    <n v="0"/>
    <m/>
    <m/>
    <n v="0"/>
    <n v="0"/>
  </r>
  <r>
    <x v="7"/>
    <s v="Montgomery College (all campuses)"/>
    <m/>
    <n v="163426"/>
    <x v="6"/>
    <s v="sem"/>
    <s v="sem"/>
    <n v="3537.6"/>
    <n v="4081"/>
    <n v="239363.6"/>
    <n v="224555"/>
    <n v="44224.800000000003"/>
    <n v="63899"/>
    <n v="274351.3"/>
    <n v="246464"/>
    <n v="561477.30000000005"/>
    <n v="18715.91"/>
    <n v="538999"/>
    <n v="17966.633333333335"/>
    <m/>
    <m/>
    <n v="0"/>
    <n v="0"/>
    <m/>
    <m/>
    <m/>
    <m/>
    <m/>
    <m/>
    <m/>
    <m/>
    <n v="0"/>
    <n v="0"/>
    <n v="0"/>
    <n v="0"/>
    <m/>
    <m/>
    <n v="0"/>
    <n v="0"/>
  </r>
  <r>
    <x v="7"/>
    <s v="Prince George's Community College "/>
    <m/>
    <n v="163657"/>
    <x v="6"/>
    <s v="sem"/>
    <s v="sem"/>
    <n v="0"/>
    <n v="0"/>
    <n v="161622"/>
    <n v="164335"/>
    <n v="55242"/>
    <n v="59441"/>
    <n v="171408"/>
    <n v="167408"/>
    <n v="388272"/>
    <n v="12942.4"/>
    <n v="391184"/>
    <n v="13039.466666666667"/>
    <m/>
    <m/>
    <n v="0"/>
    <n v="0"/>
    <m/>
    <m/>
    <m/>
    <m/>
    <m/>
    <m/>
    <m/>
    <m/>
    <n v="0"/>
    <n v="0"/>
    <n v="0"/>
    <n v="0"/>
    <m/>
    <m/>
    <n v="0"/>
    <n v="0"/>
  </r>
  <r>
    <x v="7"/>
    <s v="Allegany College of Maryland"/>
    <m/>
    <n v="161688"/>
    <x v="7"/>
    <s v="sem"/>
    <s v="sem"/>
    <n v="0"/>
    <n v="0"/>
    <n v="36084"/>
    <n v="36965"/>
    <n v="5224"/>
    <n v="5220"/>
    <n v="40453"/>
    <n v="37813"/>
    <n v="81761"/>
    <n v="2725.3666666666668"/>
    <n v="79998"/>
    <n v="2666.6"/>
    <m/>
    <m/>
    <n v="0"/>
    <n v="0"/>
    <m/>
    <m/>
    <m/>
    <m/>
    <m/>
    <m/>
    <m/>
    <m/>
    <n v="0"/>
    <n v="0"/>
    <n v="0"/>
    <n v="0"/>
    <m/>
    <m/>
    <n v="0"/>
    <n v="0"/>
  </r>
  <r>
    <x v="7"/>
    <s v="Baltimore City Community College"/>
    <s v="Met the criteria for Two-Year 1 in 2011-12."/>
    <n v="161864"/>
    <x v="7"/>
    <s v="sem"/>
    <s v="sem"/>
    <n v="1950"/>
    <n v="2197"/>
    <n v="64814"/>
    <n v="67223"/>
    <n v="14450"/>
    <n v="13362"/>
    <n v="66352"/>
    <n v="68377"/>
    <n v="147566"/>
    <n v="4918.8666666666668"/>
    <n v="151159"/>
    <n v="5038.6333333333332"/>
    <m/>
    <m/>
    <n v="0"/>
    <n v="0"/>
    <m/>
    <m/>
    <m/>
    <m/>
    <m/>
    <m/>
    <m/>
    <m/>
    <n v="0"/>
    <n v="0"/>
    <n v="0"/>
    <n v="0"/>
    <m/>
    <m/>
    <n v="0"/>
    <n v="0"/>
  </r>
  <r>
    <x v="7"/>
    <s v="Carroll Community College"/>
    <m/>
    <n v="405872"/>
    <x v="7"/>
    <s v="sem"/>
    <s v="sem"/>
    <n v="1682"/>
    <n v="1916.5"/>
    <n v="33271"/>
    <n v="35060"/>
    <n v="6230"/>
    <n v="6582"/>
    <n v="38681"/>
    <n v="38335"/>
    <n v="79864"/>
    <n v="2662.1333333333332"/>
    <n v="81893.5"/>
    <n v="2729.7833333333333"/>
    <m/>
    <m/>
    <n v="0"/>
    <n v="0"/>
    <m/>
    <m/>
    <m/>
    <m/>
    <m/>
    <m/>
    <m/>
    <m/>
    <n v="0"/>
    <n v="0"/>
    <n v="0"/>
    <n v="0"/>
    <m/>
    <m/>
    <n v="0"/>
    <n v="0"/>
  </r>
  <r>
    <x v="7"/>
    <s v="Frederick Community College "/>
    <m/>
    <n v="162557"/>
    <x v="7"/>
    <s v="sem"/>
    <s v="sem"/>
    <n v="2489"/>
    <n v="2549"/>
    <n v="52932"/>
    <n v="53146"/>
    <n v="11495"/>
    <n v="12954"/>
    <n v="55349"/>
    <n v="55561"/>
    <n v="122265"/>
    <n v="4075.5"/>
    <n v="124210"/>
    <n v="4140.333333333333"/>
    <m/>
    <m/>
    <n v="0"/>
    <n v="0"/>
    <m/>
    <m/>
    <m/>
    <m/>
    <m/>
    <m/>
    <m/>
    <m/>
    <n v="0"/>
    <n v="0"/>
    <n v="0"/>
    <n v="0"/>
    <m/>
    <m/>
    <n v="0"/>
    <n v="0"/>
  </r>
  <r>
    <x v="7"/>
    <s v="Hagerstown Community College "/>
    <m/>
    <n v="162690"/>
    <x v="7"/>
    <s v="sem"/>
    <s v="sem"/>
    <n v="0"/>
    <n v="0"/>
    <n v="38189"/>
    <n v="39049"/>
    <n v="11600"/>
    <n v="12662"/>
    <n v="43106"/>
    <n v="43297"/>
    <n v="92895"/>
    <n v="3096.5"/>
    <n v="95008"/>
    <n v="3166.9333333333334"/>
    <m/>
    <m/>
    <n v="0"/>
    <n v="0"/>
    <m/>
    <m/>
    <m/>
    <m/>
    <m/>
    <m/>
    <m/>
    <m/>
    <n v="0"/>
    <n v="0"/>
    <n v="0"/>
    <n v="0"/>
    <m/>
    <m/>
    <n v="0"/>
    <n v="0"/>
  </r>
  <r>
    <x v="7"/>
    <s v="Harford Community College "/>
    <m/>
    <n v="162706"/>
    <x v="7"/>
    <s v="sem"/>
    <s v="sem"/>
    <n v="1971"/>
    <n v="2192"/>
    <n v="56456"/>
    <n v="57089.5"/>
    <n v="10813.5"/>
    <n v="11772"/>
    <n v="64260"/>
    <n v="63740.5"/>
    <n v="133500.5"/>
    <n v="4450.0166666666664"/>
    <n v="134794"/>
    <n v="4493.1333333333332"/>
    <m/>
    <m/>
    <n v="0"/>
    <n v="0"/>
    <m/>
    <m/>
    <m/>
    <m/>
    <m/>
    <m/>
    <m/>
    <m/>
    <n v="0"/>
    <n v="0"/>
    <n v="0"/>
    <n v="0"/>
    <m/>
    <m/>
    <n v="0"/>
    <n v="0"/>
  </r>
  <r>
    <x v="7"/>
    <s v="Wor-Wic Community College "/>
    <m/>
    <n v="164313"/>
    <x v="7"/>
    <s v="sem"/>
    <s v="sem"/>
    <n v="0"/>
    <n v="0"/>
    <n v="32877"/>
    <n v="32278"/>
    <n v="8671"/>
    <n v="8106"/>
    <n v="35802"/>
    <n v="36516"/>
    <n v="77350"/>
    <n v="2578.3333333333335"/>
    <n v="76900"/>
    <n v="2563.3333333333335"/>
    <m/>
    <m/>
    <n v="0"/>
    <n v="0"/>
    <m/>
    <m/>
    <m/>
    <m/>
    <m/>
    <m/>
    <m/>
    <m/>
    <n v="0"/>
    <n v="0"/>
    <n v="0"/>
    <n v="0"/>
    <m/>
    <m/>
    <n v="0"/>
    <n v="0"/>
  </r>
  <r>
    <x v="7"/>
    <s v="Cecil Community College "/>
    <m/>
    <n v="162104"/>
    <x v="8"/>
    <s v="sem"/>
    <s v="sem"/>
    <n v="0"/>
    <n v="0"/>
    <n v="21627.5"/>
    <n v="21166"/>
    <n v="3498"/>
    <n v="3584"/>
    <n v="23792"/>
    <n v="24301"/>
    <n v="48917.5"/>
    <n v="1630.5833333333333"/>
    <n v="49051"/>
    <n v="1635.0333333333333"/>
    <m/>
    <m/>
    <n v="0"/>
    <n v="0"/>
    <m/>
    <m/>
    <m/>
    <m/>
    <m/>
    <m/>
    <m/>
    <m/>
    <n v="0"/>
    <n v="0"/>
    <n v="0"/>
    <n v="0"/>
    <m/>
    <m/>
    <n v="0"/>
    <n v="0"/>
  </r>
  <r>
    <x v="7"/>
    <s v="Chesapeake College "/>
    <m/>
    <n v="162168"/>
    <x v="8"/>
    <s v="sem"/>
    <s v="sem"/>
    <n v="0"/>
    <n v="0"/>
    <n v="24738"/>
    <n v="24227"/>
    <n v="3174"/>
    <n v="2920"/>
    <n v="26425"/>
    <n v="25825"/>
    <n v="54337"/>
    <n v="1811.2333333333333"/>
    <n v="52972"/>
    <n v="1765.7333333333333"/>
    <m/>
    <m/>
    <n v="0"/>
    <n v="0"/>
    <m/>
    <m/>
    <m/>
    <m/>
    <m/>
    <m/>
    <m/>
    <m/>
    <n v="0"/>
    <n v="0"/>
    <n v="0"/>
    <n v="0"/>
    <m/>
    <m/>
    <n v="0"/>
    <n v="0"/>
  </r>
  <r>
    <x v="7"/>
    <s v="Garrett College "/>
    <m/>
    <n v="162609"/>
    <x v="8"/>
    <s v="sem"/>
    <s v="sem"/>
    <n v="181"/>
    <n v="131"/>
    <n v="9560.75"/>
    <n v="10179.25"/>
    <n v="562"/>
    <n v="594"/>
    <n v="10119"/>
    <n v="12941.5"/>
    <n v="20422.75"/>
    <n v="680.75833333333333"/>
    <n v="23845.75"/>
    <n v="794.85833333333335"/>
    <m/>
    <m/>
    <n v="0"/>
    <n v="0"/>
    <m/>
    <m/>
    <m/>
    <m/>
    <m/>
    <m/>
    <m/>
    <m/>
    <n v="0"/>
    <n v="0"/>
    <n v="0"/>
    <n v="0"/>
    <m/>
    <m/>
    <n v="0"/>
    <n v="0"/>
  </r>
  <r>
    <x v="8"/>
    <s v="Mississippi State University"/>
    <m/>
    <n v="176080"/>
    <x v="0"/>
    <s v="sem"/>
    <s v="sem"/>
    <m/>
    <m/>
    <n v="177192"/>
    <n v="189437"/>
    <n v="38651"/>
    <n v="38934"/>
    <n v="202598"/>
    <n v="213629"/>
    <n v="418441"/>
    <n v="13948.033333333333"/>
    <n v="442000"/>
    <n v="14733.333333333334"/>
    <m/>
    <m/>
    <n v="0"/>
    <n v="0"/>
    <m/>
    <m/>
    <m/>
    <m/>
    <m/>
    <m/>
    <m/>
    <m/>
    <n v="0"/>
    <n v="0"/>
    <n v="0"/>
    <n v="0"/>
    <m/>
    <m/>
    <n v="0"/>
    <n v="0"/>
  </r>
  <r>
    <x v="8"/>
    <s v="University of Southern Mississippi"/>
    <m/>
    <n v="176372"/>
    <x v="0"/>
    <s v="sem"/>
    <s v="sem"/>
    <m/>
    <m/>
    <n v="146148"/>
    <n v="147446"/>
    <n v="34688"/>
    <n v="33772"/>
    <n v="161808"/>
    <n v="167105"/>
    <n v="342644"/>
    <n v="11421.466666666667"/>
    <n v="348323"/>
    <n v="11610.766666666666"/>
    <m/>
    <m/>
    <n v="0"/>
    <n v="0"/>
    <m/>
    <m/>
    <m/>
    <m/>
    <m/>
    <m/>
    <m/>
    <m/>
    <n v="0"/>
    <n v="0"/>
    <n v="0"/>
    <n v="0"/>
    <m/>
    <m/>
    <n v="0"/>
    <n v="0"/>
  </r>
  <r>
    <x v="8"/>
    <s v="Jackson State University "/>
    <m/>
    <n v="175856"/>
    <x v="1"/>
    <s v="sem"/>
    <s v="sem"/>
    <m/>
    <m/>
    <n v="67287"/>
    <n v="72271.5"/>
    <n v="17790"/>
    <n v="20164"/>
    <n v="77433"/>
    <n v="78970"/>
    <n v="162510"/>
    <n v="5417"/>
    <n v="171405.5"/>
    <n v="5713.5166666666664"/>
    <m/>
    <m/>
    <n v="0"/>
    <n v="0"/>
    <m/>
    <m/>
    <m/>
    <m/>
    <m/>
    <m/>
    <m/>
    <m/>
    <n v="0"/>
    <n v="0"/>
    <n v="0"/>
    <n v="0"/>
    <m/>
    <m/>
    <n v="0"/>
    <n v="0"/>
  </r>
  <r>
    <x v="8"/>
    <s v="University of Mississippi"/>
    <s v="Met the criteria for Four-Year 1 in 2011-12."/>
    <n v="176017"/>
    <x v="1"/>
    <s v="sem"/>
    <s v="sem"/>
    <m/>
    <m/>
    <n v="174439"/>
    <n v="188344"/>
    <n v="47603"/>
    <n v="47586"/>
    <n v="192683"/>
    <n v="206970"/>
    <n v="414725"/>
    <n v="13824.166666666666"/>
    <n v="442900"/>
    <n v="14763.333333333334"/>
    <m/>
    <m/>
    <n v="0"/>
    <n v="0"/>
    <m/>
    <m/>
    <m/>
    <m/>
    <m/>
    <m/>
    <m/>
    <m/>
    <n v="0"/>
    <n v="0"/>
    <n v="0"/>
    <n v="0"/>
    <m/>
    <m/>
    <n v="0"/>
    <n v="0"/>
  </r>
  <r>
    <x v="8"/>
    <s v="Alcorn State University"/>
    <m/>
    <n v="175342"/>
    <x v="3"/>
    <s v="sem"/>
    <s v="sem"/>
    <m/>
    <m/>
    <n v="34063"/>
    <n v="38675"/>
    <n v="11173"/>
    <n v="12594"/>
    <n v="39225"/>
    <n v="43097"/>
    <n v="84461"/>
    <n v="2815.3666666666668"/>
    <n v="94366"/>
    <n v="3145.5333333333333"/>
    <m/>
    <m/>
    <n v="0"/>
    <n v="0"/>
    <m/>
    <m/>
    <m/>
    <m/>
    <m/>
    <m/>
    <m/>
    <m/>
    <n v="0"/>
    <n v="0"/>
    <n v="0"/>
    <n v="0"/>
    <m/>
    <m/>
    <n v="0"/>
    <n v="0"/>
  </r>
  <r>
    <x v="8"/>
    <s v="Delta State University"/>
    <m/>
    <n v="175616"/>
    <x v="3"/>
    <s v="sem"/>
    <s v="sem"/>
    <m/>
    <m/>
    <n v="34723"/>
    <n v="33006"/>
    <n v="6469"/>
    <n v="6548"/>
    <n v="36533"/>
    <n v="35560"/>
    <n v="77725"/>
    <n v="2590.8333333333335"/>
    <n v="75114"/>
    <n v="2503.8000000000002"/>
    <m/>
    <m/>
    <n v="0"/>
    <n v="0"/>
    <m/>
    <m/>
    <m/>
    <m/>
    <m/>
    <m/>
    <m/>
    <m/>
    <n v="0"/>
    <n v="0"/>
    <n v="0"/>
    <n v="0"/>
    <m/>
    <m/>
    <n v="0"/>
    <n v="0"/>
  </r>
  <r>
    <x v="8"/>
    <s v="Mississippi Valley State University"/>
    <m/>
    <n v="176044"/>
    <x v="3"/>
    <s v="sem"/>
    <s v="sem"/>
    <m/>
    <m/>
    <n v="28599"/>
    <n v="26801"/>
    <n v="9499"/>
    <n v="8986"/>
    <n v="28070"/>
    <n v="26495"/>
    <n v="66168"/>
    <n v="2205.6"/>
    <n v="62282"/>
    <n v="2076.0666666666666"/>
    <m/>
    <m/>
    <n v="0"/>
    <n v="0"/>
    <m/>
    <m/>
    <m/>
    <m/>
    <m/>
    <m/>
    <m/>
    <m/>
    <n v="0"/>
    <n v="0"/>
    <n v="0"/>
    <n v="0"/>
    <m/>
    <m/>
    <n v="0"/>
    <n v="0"/>
  </r>
  <r>
    <x v="8"/>
    <s v="Mississippi University for Women"/>
    <m/>
    <n v="176035"/>
    <x v="4"/>
    <s v="sem"/>
    <s v="sem"/>
    <m/>
    <m/>
    <n v="25823"/>
    <n v="27625"/>
    <n v="8354"/>
    <n v="10363"/>
    <n v="28847"/>
    <n v="29636"/>
    <n v="63024"/>
    <n v="2100.8000000000002"/>
    <n v="67624"/>
    <n v="2254.1333333333332"/>
    <m/>
    <m/>
    <n v="0"/>
    <n v="0"/>
    <m/>
    <m/>
    <m/>
    <m/>
    <m/>
    <m/>
    <m/>
    <m/>
    <n v="0"/>
    <n v="0"/>
    <n v="0"/>
    <n v="0"/>
    <m/>
    <m/>
    <n v="0"/>
    <n v="0"/>
  </r>
  <r>
    <x v="8"/>
    <s v="Hinds Community College "/>
    <m/>
    <n v="175786"/>
    <x v="6"/>
    <s v="sem"/>
    <s v="sem"/>
    <m/>
    <m/>
    <n v="136623"/>
    <n v="141793"/>
    <n v="44047"/>
    <n v="43282"/>
    <n v="159704"/>
    <n v="153821"/>
    <n v="340374"/>
    <n v="11345.8"/>
    <n v="338896"/>
    <n v="11296.533333333333"/>
    <n v="3287"/>
    <n v="3123"/>
    <n v="340374"/>
    <n v="338896"/>
    <m/>
    <m/>
    <m/>
    <m/>
    <m/>
    <m/>
    <m/>
    <m/>
    <n v="0"/>
    <n v="0"/>
    <n v="0"/>
    <n v="0"/>
    <m/>
    <m/>
    <n v="0"/>
    <n v="0"/>
  </r>
  <r>
    <x v="8"/>
    <s v="Itawamba Community College "/>
    <s v="Met criteria for Two-Year 2 2011-12."/>
    <n v="175829"/>
    <x v="6"/>
    <s v="sem"/>
    <s v="sem"/>
    <m/>
    <m/>
    <n v="96889"/>
    <n v="91528"/>
    <n v="27800"/>
    <n v="21793"/>
    <n v="100640"/>
    <n v="90765"/>
    <n v="225329"/>
    <n v="7510.9666666666662"/>
    <n v="204086"/>
    <n v="6802.8666666666668"/>
    <n v="1119"/>
    <n v="1042"/>
    <n v="225329"/>
    <n v="204086"/>
    <m/>
    <m/>
    <m/>
    <m/>
    <m/>
    <m/>
    <m/>
    <m/>
    <n v="0"/>
    <n v="0"/>
    <n v="0"/>
    <n v="0"/>
    <m/>
    <m/>
    <n v="0"/>
    <n v="0"/>
  </r>
  <r>
    <x v="8"/>
    <s v="Mississippi Gulf Coast Community College "/>
    <s v="Met criteria for Two-Year 2 2011-12."/>
    <n v="176071"/>
    <x v="6"/>
    <s v="sem"/>
    <s v="sem"/>
    <n v="454"/>
    <n v="525"/>
    <n v="110368"/>
    <n v="108752"/>
    <n v="31030"/>
    <n v="26834"/>
    <n v="118765"/>
    <n v="118350"/>
    <n v="260617"/>
    <n v="8687.2333333333336"/>
    <n v="254461"/>
    <n v="8482.0333333333328"/>
    <n v="1679"/>
    <n v="1594"/>
    <n v="260617"/>
    <n v="254461"/>
    <m/>
    <m/>
    <m/>
    <m/>
    <m/>
    <m/>
    <m/>
    <m/>
    <n v="0"/>
    <n v="0"/>
    <n v="0"/>
    <n v="0"/>
    <m/>
    <m/>
    <n v="0"/>
    <n v="0"/>
  </r>
  <r>
    <x v="8"/>
    <s v="Northwest Mississippi Community College "/>
    <s v="Met criteria for Two-Year 2 2011-12."/>
    <n v="176178"/>
    <x v="6"/>
    <s v="sem"/>
    <s v="sem"/>
    <m/>
    <m/>
    <n v="92877"/>
    <n v="95084"/>
    <n v="25081"/>
    <n v="22602"/>
    <n v="101767"/>
    <n v="97598"/>
    <n v="219725"/>
    <n v="7324.166666666667"/>
    <n v="215284"/>
    <n v="7176.1333333333332"/>
    <n v="745"/>
    <n v="2002"/>
    <n v="219725"/>
    <n v="215284"/>
    <m/>
    <m/>
    <m/>
    <m/>
    <m/>
    <m/>
    <m/>
    <m/>
    <n v="0"/>
    <n v="0"/>
    <n v="0"/>
    <n v="0"/>
    <m/>
    <m/>
    <n v="0"/>
    <n v="0"/>
  </r>
  <r>
    <x v="8"/>
    <s v="Copiah-Lincoln Community College "/>
    <s v="Met criteria for Two-Year 3 2011-12."/>
    <n v="175573"/>
    <x v="7"/>
    <s v="sem"/>
    <s v="sem"/>
    <m/>
    <m/>
    <n v="45122"/>
    <n v="42906"/>
    <n v="11781"/>
    <n v="10797"/>
    <n v="48670"/>
    <n v="45936"/>
    <n v="105573"/>
    <n v="3519.1"/>
    <n v="99639"/>
    <n v="3321.3"/>
    <n v="1172"/>
    <n v="1041"/>
    <n v="105573"/>
    <n v="99639"/>
    <m/>
    <m/>
    <m/>
    <m/>
    <m/>
    <m/>
    <m/>
    <m/>
    <n v="0"/>
    <n v="0"/>
    <n v="0"/>
    <n v="0"/>
    <m/>
    <m/>
    <n v="0"/>
    <n v="0"/>
  </r>
  <r>
    <x v="8"/>
    <s v="East Central Community College "/>
    <s v="Met criteria for Two-Year 3 2011-12."/>
    <n v="175643"/>
    <x v="7"/>
    <s v="sem"/>
    <s v="sem"/>
    <m/>
    <m/>
    <n v="31498"/>
    <n v="30047"/>
    <n v="7614"/>
    <n v="7605"/>
    <n v="33326"/>
    <n v="33007"/>
    <n v="72438"/>
    <n v="2414.6"/>
    <n v="70659"/>
    <n v="2355.3000000000002"/>
    <n v="333"/>
    <n v="1053"/>
    <n v="72438"/>
    <n v="70659"/>
    <m/>
    <m/>
    <m/>
    <m/>
    <m/>
    <m/>
    <m/>
    <m/>
    <n v="0"/>
    <n v="0"/>
    <n v="0"/>
    <n v="0"/>
    <m/>
    <m/>
    <n v="0"/>
    <n v="0"/>
  </r>
  <r>
    <x v="8"/>
    <s v="East Mississippi Community College "/>
    <m/>
    <n v="175652"/>
    <x v="7"/>
    <s v="sem"/>
    <s v="sem"/>
    <m/>
    <m/>
    <n v="53353"/>
    <n v="54193"/>
    <n v="21313"/>
    <n v="18297"/>
    <n v="59562"/>
    <n v="57188"/>
    <n v="134228"/>
    <n v="4474.2666666666664"/>
    <n v="129678"/>
    <n v="4322.6000000000004"/>
    <n v="841"/>
    <n v="412"/>
    <n v="134228"/>
    <n v="129678"/>
    <m/>
    <m/>
    <m/>
    <m/>
    <m/>
    <m/>
    <m/>
    <m/>
    <n v="0"/>
    <n v="0"/>
    <n v="0"/>
    <n v="0"/>
    <m/>
    <m/>
    <n v="0"/>
    <n v="0"/>
  </r>
  <r>
    <x v="8"/>
    <s v="Holmes Community College "/>
    <m/>
    <n v="175810"/>
    <x v="7"/>
    <s v="sem"/>
    <s v="sem"/>
    <m/>
    <m/>
    <n v="67806"/>
    <n v="69544"/>
    <n v="21149"/>
    <n v="21647"/>
    <n v="72668"/>
    <n v="72931"/>
    <n v="161623"/>
    <n v="5387.4333333333334"/>
    <n v="164122"/>
    <n v="5470.7333333333336"/>
    <n v="1371"/>
    <n v="1224"/>
    <n v="161623"/>
    <n v="164122"/>
    <m/>
    <m/>
    <m/>
    <m/>
    <m/>
    <m/>
    <m/>
    <m/>
    <n v="0"/>
    <n v="0"/>
    <n v="0"/>
    <n v="0"/>
    <m/>
    <m/>
    <n v="0"/>
    <n v="0"/>
  </r>
  <r>
    <x v="8"/>
    <s v="Jones County Junior College "/>
    <m/>
    <n v="175883"/>
    <x v="7"/>
    <s v="sem"/>
    <s v="sem"/>
    <m/>
    <m/>
    <n v="62805"/>
    <n v="60439"/>
    <n v="19646"/>
    <n v="16482"/>
    <n v="69180"/>
    <n v="62145"/>
    <n v="151631"/>
    <n v="5054.3666666666668"/>
    <n v="139066"/>
    <n v="4635.5333333333338"/>
    <n v="1739"/>
    <n v="1694"/>
    <n v="151631"/>
    <n v="139066"/>
    <m/>
    <m/>
    <m/>
    <m/>
    <m/>
    <m/>
    <m/>
    <m/>
    <n v="0"/>
    <n v="0"/>
    <n v="0"/>
    <n v="0"/>
    <m/>
    <m/>
    <n v="0"/>
    <n v="0"/>
  </r>
  <r>
    <x v="8"/>
    <s v="Meridian Community College "/>
    <s v="Met criteria for Two-Year 3 2011-12."/>
    <n v="175935"/>
    <x v="7"/>
    <s v="sem"/>
    <s v="sem"/>
    <m/>
    <m/>
    <n v="44956"/>
    <n v="43146"/>
    <n v="9593"/>
    <n v="9237"/>
    <n v="48013"/>
    <n v="48738.5"/>
    <n v="102562"/>
    <n v="3418.7333333333331"/>
    <n v="101121.5"/>
    <n v="3370.7166666666667"/>
    <n v="412"/>
    <n v="665"/>
    <n v="102562"/>
    <n v="101121.5"/>
    <m/>
    <m/>
    <m/>
    <m/>
    <m/>
    <m/>
    <m/>
    <m/>
    <n v="0"/>
    <n v="0"/>
    <n v="0"/>
    <n v="0"/>
    <m/>
    <m/>
    <n v="0"/>
    <n v="0"/>
  </r>
  <r>
    <x v="8"/>
    <s v="Mississippi Delta Community College "/>
    <s v="Met criteria for Two-Year 3 2011-12."/>
    <n v="176008"/>
    <x v="7"/>
    <s v="sem"/>
    <s v="sem"/>
    <m/>
    <m/>
    <n v="42385"/>
    <n v="38930"/>
    <n v="10363"/>
    <n v="10269"/>
    <n v="42732"/>
    <n v="39692"/>
    <n v="95480"/>
    <n v="3182.6666666666665"/>
    <n v="88891"/>
    <n v="2963.0333333333333"/>
    <n v="834"/>
    <n v="617"/>
    <n v="95480"/>
    <n v="88891"/>
    <m/>
    <m/>
    <m/>
    <m/>
    <m/>
    <m/>
    <m/>
    <m/>
    <n v="0"/>
    <n v="0"/>
    <n v="0"/>
    <n v="0"/>
    <m/>
    <m/>
    <n v="0"/>
    <n v="0"/>
  </r>
  <r>
    <x v="8"/>
    <s v="Northeast Mississippi Community College "/>
    <s v="Met criteria for Two-Year 3 2011-12."/>
    <n v="176169"/>
    <x v="7"/>
    <s v="sem"/>
    <s v="sem"/>
    <m/>
    <m/>
    <n v="44266"/>
    <n v="43934"/>
    <n v="6371"/>
    <n v="5621"/>
    <n v="48134"/>
    <n v="48678"/>
    <n v="98771"/>
    <n v="3292.3666666666668"/>
    <n v="98233"/>
    <n v="3274.4333333333334"/>
    <n v="563"/>
    <n v="651"/>
    <n v="98771"/>
    <n v="98233"/>
    <m/>
    <m/>
    <m/>
    <m/>
    <m/>
    <m/>
    <m/>
    <m/>
    <n v="0"/>
    <n v="0"/>
    <n v="0"/>
    <n v="0"/>
    <m/>
    <m/>
    <n v="0"/>
    <n v="0"/>
  </r>
  <r>
    <x v="8"/>
    <s v="Pearl River Community College "/>
    <m/>
    <n v="176239"/>
    <x v="7"/>
    <s v="sem"/>
    <s v="sem"/>
    <m/>
    <m/>
    <n v="53825"/>
    <n v="56125"/>
    <n v="13377"/>
    <n v="13237"/>
    <n v="61796"/>
    <n v="60546"/>
    <n v="128998"/>
    <n v="4299.9333333333334"/>
    <n v="129908"/>
    <n v="4330.2666666666664"/>
    <n v="840"/>
    <n v="1182"/>
    <n v="128998"/>
    <n v="129908"/>
    <m/>
    <m/>
    <m/>
    <m/>
    <m/>
    <m/>
    <m/>
    <m/>
    <n v="0"/>
    <n v="0"/>
    <n v="0"/>
    <n v="0"/>
    <m/>
    <m/>
    <n v="0"/>
    <n v="0"/>
  </r>
  <r>
    <x v="8"/>
    <s v="Coahoma Community College "/>
    <m/>
    <n v="175519"/>
    <x v="8"/>
    <s v="sem"/>
    <s v="sem"/>
    <m/>
    <m/>
    <n v="25412"/>
    <n v="32587"/>
    <n v="4341"/>
    <n v="4761"/>
    <n v="33682"/>
    <n v="35023"/>
    <n v="63435"/>
    <n v="2114.5"/>
    <n v="72371"/>
    <n v="2412.3666666666668"/>
    <n v="785"/>
    <n v="747"/>
    <n v="63435"/>
    <n v="72371"/>
    <m/>
    <m/>
    <m/>
    <m/>
    <m/>
    <m/>
    <m/>
    <m/>
    <n v="0"/>
    <n v="0"/>
    <n v="0"/>
    <n v="0"/>
    <m/>
    <m/>
    <n v="0"/>
    <n v="0"/>
  </r>
  <r>
    <x v="8"/>
    <s v="Southwest Mississippi Community College"/>
    <m/>
    <n v="176354"/>
    <x v="8"/>
    <s v="sem"/>
    <s v="sem"/>
    <m/>
    <m/>
    <n v="25379"/>
    <n v="24771"/>
    <n v="3462"/>
    <n v="4306"/>
    <n v="27699"/>
    <n v="28034"/>
    <n v="56540"/>
    <n v="1884.6666666666667"/>
    <n v="57111"/>
    <n v="1903.7"/>
    <n v="861"/>
    <n v="660"/>
    <n v="56540"/>
    <n v="57111"/>
    <m/>
    <m/>
    <m/>
    <m/>
    <m/>
    <m/>
    <m/>
    <m/>
    <n v="0"/>
    <n v="0"/>
    <n v="0"/>
    <n v="0"/>
    <m/>
    <m/>
    <n v="0"/>
    <n v="0"/>
  </r>
  <r>
    <x v="9"/>
    <s v="North Carolina State University "/>
    <m/>
    <n v="199193"/>
    <x v="0"/>
    <s v="sem"/>
    <s v="sem"/>
    <m/>
    <m/>
    <n v="321586"/>
    <n v="323770"/>
    <n v="57585"/>
    <n v="59666"/>
    <n v="346819"/>
    <n v="347252"/>
    <n v="725990"/>
    <n v="24199.666666666668"/>
    <n v="730688"/>
    <n v="24356.266666666666"/>
    <n v="0"/>
    <n v="0"/>
    <n v="725990"/>
    <n v="730688"/>
    <m/>
    <m/>
    <m/>
    <m/>
    <m/>
    <m/>
    <m/>
    <m/>
    <n v="0"/>
    <n v="0"/>
    <n v="0"/>
    <n v="0"/>
    <m/>
    <m/>
    <n v="0"/>
    <n v="0"/>
  </r>
  <r>
    <x v="9"/>
    <s v="University of North Carolina at Chapel Hill "/>
    <m/>
    <n v="199120"/>
    <x v="0"/>
    <s v="sem"/>
    <s v="sem"/>
    <m/>
    <m/>
    <n v="231100"/>
    <n v="231358"/>
    <n v="35347"/>
    <n v="35510"/>
    <n v="242296"/>
    <n v="245180"/>
    <n v="508743"/>
    <n v="16958.099999999999"/>
    <n v="512048"/>
    <n v="17068.266666666666"/>
    <n v="0"/>
    <n v="8"/>
    <n v="508743"/>
    <n v="512048"/>
    <m/>
    <m/>
    <m/>
    <m/>
    <m/>
    <m/>
    <m/>
    <m/>
    <n v="0"/>
    <n v="0"/>
    <n v="0"/>
    <n v="0"/>
    <m/>
    <m/>
    <n v="0"/>
    <n v="0"/>
  </r>
  <r>
    <x v="9"/>
    <s v="University of North Carolina at Greensboro"/>
    <s v="Reclassified: met the criteria for Four-Year 1 in 2009-10, 2010-11 and 2011-12."/>
    <n v="199148"/>
    <x v="0"/>
    <s v="sem"/>
    <s v="sem"/>
    <m/>
    <m/>
    <n v="189779"/>
    <n v="191003"/>
    <n v="25837"/>
    <n v="34548"/>
    <n v="198683"/>
    <n v="195330"/>
    <n v="414299"/>
    <n v="13809.966666666667"/>
    <n v="420881"/>
    <n v="14029.366666666667"/>
    <n v="7534"/>
    <n v="286"/>
    <n v="414299"/>
    <n v="420881"/>
    <m/>
    <m/>
    <m/>
    <m/>
    <m/>
    <m/>
    <m/>
    <m/>
    <n v="0"/>
    <n v="0"/>
    <n v="0"/>
    <n v="0"/>
    <m/>
    <m/>
    <n v="0"/>
    <n v="0"/>
  </r>
  <r>
    <x v="9"/>
    <s v="University of North Carolina at Charlotte"/>
    <m/>
    <n v="199139"/>
    <x v="1"/>
    <s v="sem"/>
    <s v="sem"/>
    <m/>
    <m/>
    <n v="243926"/>
    <n v="250878"/>
    <n v="43743"/>
    <n v="44400"/>
    <n v="263243"/>
    <n v="271170"/>
    <n v="550912"/>
    <n v="18363.733333333334"/>
    <n v="566448"/>
    <n v="18881.599999999999"/>
    <n v="0"/>
    <n v="0"/>
    <n v="550912"/>
    <n v="566448"/>
    <m/>
    <m/>
    <m/>
    <m/>
    <m/>
    <m/>
    <m/>
    <m/>
    <n v="0"/>
    <n v="0"/>
    <n v="0"/>
    <n v="0"/>
    <m/>
    <m/>
    <n v="0"/>
    <n v="0"/>
  </r>
  <r>
    <x v="9"/>
    <s v="Appalachian State University "/>
    <m/>
    <n v="197869"/>
    <x v="2"/>
    <s v="sem"/>
    <s v="sem"/>
    <m/>
    <m/>
    <n v="201911"/>
    <n v="208091"/>
    <n v="32052"/>
    <n v="32326"/>
    <n v="219067"/>
    <n v="225414"/>
    <n v="453030"/>
    <n v="15101"/>
    <n v="465831"/>
    <n v="15527.7"/>
    <n v="0"/>
    <n v="0"/>
    <n v="453030"/>
    <n v="465831"/>
    <m/>
    <m/>
    <m/>
    <m/>
    <m/>
    <m/>
    <m/>
    <m/>
    <n v="0"/>
    <n v="0"/>
    <n v="0"/>
    <n v="0"/>
    <m/>
    <m/>
    <n v="0"/>
    <n v="0"/>
  </r>
  <r>
    <x v="9"/>
    <s v="East Carolina University "/>
    <s v="Met the criteria for Four-Year 2 in 2010-11 and 2011-12."/>
    <n v="198464"/>
    <x v="2"/>
    <s v="sem"/>
    <s v="sem"/>
    <m/>
    <m/>
    <n v="255968"/>
    <n v="261544"/>
    <n v="57711"/>
    <n v="54008"/>
    <n v="281478"/>
    <n v="281788"/>
    <n v="595157"/>
    <n v="19838.566666666666"/>
    <n v="597340"/>
    <n v="19911.333333333332"/>
    <n v="390"/>
    <n v="402"/>
    <n v="595157"/>
    <n v="597340"/>
    <m/>
    <m/>
    <m/>
    <m/>
    <m/>
    <m/>
    <m/>
    <m/>
    <n v="0"/>
    <n v="0"/>
    <n v="0"/>
    <n v="0"/>
    <m/>
    <m/>
    <n v="0"/>
    <n v="0"/>
  </r>
  <r>
    <x v="9"/>
    <s v="North Carolina A&amp;T State University"/>
    <m/>
    <n v="199102"/>
    <x v="2"/>
    <s v="sem"/>
    <s v="sem"/>
    <m/>
    <m/>
    <n v="116329"/>
    <n v="116034"/>
    <n v="27316"/>
    <n v="27844"/>
    <n v="126726"/>
    <n v="125696"/>
    <n v="270371"/>
    <n v="9012.3666666666668"/>
    <n v="269574"/>
    <n v="8985.7999999999993"/>
    <n v="1605"/>
    <n v="446"/>
    <n v="270371"/>
    <n v="269574"/>
    <m/>
    <m/>
    <m/>
    <m/>
    <m/>
    <m/>
    <m/>
    <m/>
    <n v="0"/>
    <n v="0"/>
    <n v="0"/>
    <n v="0"/>
    <m/>
    <m/>
    <n v="0"/>
    <n v="0"/>
  </r>
  <r>
    <x v="9"/>
    <s v="North Carolina Central University "/>
    <m/>
    <n v="199157"/>
    <x v="2"/>
    <s v="sem"/>
    <s v="sem"/>
    <m/>
    <m/>
    <n v="81883"/>
    <n v="79755"/>
    <n v="24228"/>
    <n v="27549"/>
    <n v="86203"/>
    <n v="83819"/>
    <n v="192314"/>
    <n v="6410.4666666666662"/>
    <n v="191123"/>
    <n v="6370.7666666666664"/>
    <n v="5669"/>
    <n v="4064"/>
    <n v="192314"/>
    <n v="191123"/>
    <m/>
    <m/>
    <m/>
    <m/>
    <m/>
    <m/>
    <m/>
    <m/>
    <n v="0"/>
    <n v="0"/>
    <n v="0"/>
    <n v="0"/>
    <m/>
    <m/>
    <n v="0"/>
    <n v="0"/>
  </r>
  <r>
    <x v="9"/>
    <s v="University of North Carolina at Wilmington"/>
    <m/>
    <n v="199218"/>
    <x v="2"/>
    <s v="sem"/>
    <s v="sem"/>
    <m/>
    <m/>
    <n v="150020"/>
    <n v="152800"/>
    <n v="29034"/>
    <n v="29802"/>
    <n v="164006"/>
    <n v="167002"/>
    <n v="343060"/>
    <n v="11435.333333333334"/>
    <n v="349604"/>
    <n v="11653.466666666667"/>
    <n v="2450"/>
    <n v="1970"/>
    <n v="343060"/>
    <n v="349604"/>
    <m/>
    <m/>
    <m/>
    <m/>
    <m/>
    <m/>
    <m/>
    <m/>
    <n v="0"/>
    <n v="0"/>
    <n v="0"/>
    <n v="0"/>
    <m/>
    <m/>
    <n v="0"/>
    <n v="0"/>
  </r>
  <r>
    <x v="9"/>
    <s v="Western Carolina University "/>
    <m/>
    <n v="200004"/>
    <x v="2"/>
    <s v="sem"/>
    <s v="sem"/>
    <m/>
    <m/>
    <n v="93339"/>
    <n v="96356"/>
    <n v="15648"/>
    <n v="15932"/>
    <n v="101655"/>
    <n v="103553"/>
    <n v="210642"/>
    <n v="7021.4"/>
    <n v="215841"/>
    <n v="7194.7"/>
    <n v="0"/>
    <n v="0"/>
    <n v="210642"/>
    <n v="215841"/>
    <m/>
    <m/>
    <m/>
    <m/>
    <m/>
    <m/>
    <m/>
    <m/>
    <n v="0"/>
    <n v="0"/>
    <n v="0"/>
    <n v="0"/>
    <m/>
    <m/>
    <n v="0"/>
    <n v="0"/>
  </r>
  <r>
    <x v="9"/>
    <s v="Fayetteville State University "/>
    <m/>
    <n v="198543"/>
    <x v="3"/>
    <s v="sem"/>
    <s v="sem"/>
    <m/>
    <m/>
    <n v="63397"/>
    <n v="61292"/>
    <n v="19301"/>
    <n v="20723"/>
    <n v="62131"/>
    <n v="66367"/>
    <n v="144829"/>
    <n v="4827.6333333333332"/>
    <n v="148382"/>
    <n v="4946.0666666666666"/>
    <n v="3887"/>
    <n v="2856"/>
    <n v="144829"/>
    <n v="148382"/>
    <m/>
    <m/>
    <m/>
    <m/>
    <m/>
    <m/>
    <m/>
    <m/>
    <n v="0"/>
    <n v="0"/>
    <n v="0"/>
    <n v="0"/>
    <m/>
    <m/>
    <n v="0"/>
    <n v="0"/>
  </r>
  <r>
    <x v="9"/>
    <s v="University of North Carolina at Pembroke"/>
    <m/>
    <n v="199281"/>
    <x v="4"/>
    <s v="sem"/>
    <s v="sem"/>
    <m/>
    <m/>
    <n v="71193"/>
    <n v="69387"/>
    <n v="20215"/>
    <n v="18862"/>
    <n v="77729"/>
    <n v="70204"/>
    <n v="169137"/>
    <n v="5637.9"/>
    <n v="158453"/>
    <n v="5281.7666666666664"/>
    <n v="0"/>
    <n v="0"/>
    <n v="169137"/>
    <n v="158453"/>
    <m/>
    <m/>
    <m/>
    <m/>
    <m/>
    <m/>
    <m/>
    <m/>
    <n v="0"/>
    <n v="0"/>
    <n v="0"/>
    <n v="0"/>
    <m/>
    <m/>
    <n v="0"/>
    <n v="0"/>
  </r>
  <r>
    <x v="9"/>
    <s v="Winston-Salem State University "/>
    <m/>
    <n v="199999"/>
    <x v="4"/>
    <s v="sem"/>
    <s v="sem"/>
    <m/>
    <m/>
    <n v="77325"/>
    <n v="73940"/>
    <n v="15086"/>
    <n v="18550"/>
    <n v="81301"/>
    <n v="77974"/>
    <n v="173712"/>
    <n v="5790.4"/>
    <n v="170464"/>
    <n v="5682.1333333333332"/>
    <n v="0"/>
    <n v="0"/>
    <n v="173712"/>
    <n v="170464"/>
    <m/>
    <m/>
    <m/>
    <m/>
    <m/>
    <m/>
    <m/>
    <m/>
    <n v="0"/>
    <n v="0"/>
    <n v="0"/>
    <n v="0"/>
    <m/>
    <m/>
    <n v="0"/>
    <n v="0"/>
  </r>
  <r>
    <x v="9"/>
    <s v="Elizabeth City State University "/>
    <m/>
    <n v="198507"/>
    <x v="5"/>
    <s v="sem"/>
    <s v="sem"/>
    <m/>
    <m/>
    <n v="42958"/>
    <n v="42025"/>
    <n v="10611"/>
    <n v="13220"/>
    <n v="46482"/>
    <n v="40030"/>
    <n v="100051"/>
    <n v="3335.0333333333333"/>
    <n v="95275"/>
    <n v="3175.8333333333335"/>
    <n v="0"/>
    <n v="0"/>
    <n v="100051"/>
    <n v="95275"/>
    <m/>
    <m/>
    <m/>
    <m/>
    <m/>
    <m/>
    <m/>
    <m/>
    <n v="0"/>
    <n v="0"/>
    <n v="0"/>
    <n v="0"/>
    <m/>
    <m/>
    <n v="0"/>
    <n v="0"/>
  </r>
  <r>
    <x v="9"/>
    <s v="University of North Carolina at Asheville"/>
    <m/>
    <n v="199111"/>
    <x v="5"/>
    <s v="sem"/>
    <s v="sem"/>
    <m/>
    <m/>
    <n v="47045"/>
    <n v="46895"/>
    <n v="4747"/>
    <n v="5398"/>
    <n v="50673"/>
    <n v="49074"/>
    <n v="102465"/>
    <n v="3415.5"/>
    <n v="101367"/>
    <n v="3378.9"/>
    <n v="251"/>
    <n v="0"/>
    <n v="102465"/>
    <n v="101367"/>
    <m/>
    <m/>
    <m/>
    <m/>
    <m/>
    <m/>
    <m/>
    <m/>
    <n v="0"/>
    <n v="0"/>
    <n v="0"/>
    <n v="0"/>
    <m/>
    <m/>
    <n v="0"/>
    <n v="0"/>
  </r>
  <r>
    <x v="9"/>
    <s v="Asheville-Buncombe Technical Community College"/>
    <m/>
    <n v="197887"/>
    <x v="6"/>
    <s v="sem"/>
    <s v="sem"/>
    <m/>
    <m/>
    <n v="65873"/>
    <n v="71980"/>
    <n v="18786"/>
    <n v="20321"/>
    <n v="74757"/>
    <n v="75991"/>
    <n v="159416"/>
    <n v="5313.8666666666668"/>
    <n v="168292"/>
    <n v="5609.7333333333336"/>
    <n v="15632"/>
    <n v="14859"/>
    <n v="159416"/>
    <n v="168292"/>
    <m/>
    <m/>
    <m/>
    <m/>
    <m/>
    <m/>
    <m/>
    <m/>
    <n v="0"/>
    <n v="0"/>
    <n v="0"/>
    <n v="0"/>
    <m/>
    <m/>
    <n v="0"/>
    <n v="0"/>
  </r>
  <r>
    <x v="9"/>
    <s v="Cape Fear Community College"/>
    <m/>
    <n v="198154"/>
    <x v="6"/>
    <s v="sem"/>
    <s v="sem"/>
    <m/>
    <m/>
    <n v="91061"/>
    <n v="95828"/>
    <n v="23447"/>
    <n v="24078"/>
    <n v="98041"/>
    <n v="98659"/>
    <n v="212549"/>
    <n v="7084.9666666666662"/>
    <n v="218565"/>
    <n v="7285.5"/>
    <n v="5629"/>
    <n v="6656"/>
    <n v="212549"/>
    <n v="218565"/>
    <m/>
    <m/>
    <m/>
    <m/>
    <m/>
    <m/>
    <m/>
    <m/>
    <n v="0"/>
    <n v="0"/>
    <n v="0"/>
    <n v="0"/>
    <m/>
    <m/>
    <n v="0"/>
    <n v="0"/>
  </r>
  <r>
    <x v="9"/>
    <s v="Central Piedmont Community College "/>
    <m/>
    <n v="198260"/>
    <x v="6"/>
    <s v="sem"/>
    <s v="sem"/>
    <m/>
    <m/>
    <n v="176551"/>
    <n v="185959"/>
    <n v="50648"/>
    <n v="54528"/>
    <n v="182344"/>
    <n v="182241"/>
    <n v="409543"/>
    <n v="13651.433333333332"/>
    <n v="422728"/>
    <n v="14090.933333333332"/>
    <n v="4937"/>
    <n v="4741"/>
    <n v="409543"/>
    <n v="422728"/>
    <m/>
    <m/>
    <m/>
    <m/>
    <m/>
    <m/>
    <m/>
    <m/>
    <n v="0"/>
    <n v="0"/>
    <n v="0"/>
    <n v="0"/>
    <m/>
    <m/>
    <n v="0"/>
    <n v="0"/>
  </r>
  <r>
    <x v="9"/>
    <s v="Fayetteville Technical Community College"/>
    <m/>
    <n v="198534"/>
    <x v="6"/>
    <s v="sem"/>
    <s v="sem"/>
    <m/>
    <m/>
    <n v="110789"/>
    <n v="102826"/>
    <n v="29015"/>
    <n v="26569"/>
    <n v="102538"/>
    <n v="108927"/>
    <n v="242342"/>
    <n v="8078.0666666666666"/>
    <n v="238322"/>
    <n v="7944.0666666666666"/>
    <n v="5595"/>
    <n v="4886"/>
    <n v="242342"/>
    <n v="238322"/>
    <m/>
    <m/>
    <m/>
    <m/>
    <m/>
    <m/>
    <m/>
    <m/>
    <n v="0"/>
    <n v="0"/>
    <n v="0"/>
    <n v="0"/>
    <m/>
    <m/>
    <n v="0"/>
    <n v="0"/>
  </r>
  <r>
    <x v="9"/>
    <s v="Forsyth Technical Community College"/>
    <m/>
    <n v="198552"/>
    <x v="6"/>
    <s v="sem"/>
    <s v="sem"/>
    <m/>
    <m/>
    <n v="91567"/>
    <n v="95222"/>
    <n v="27211"/>
    <n v="26145"/>
    <n v="96293"/>
    <n v="103072"/>
    <n v="215071"/>
    <n v="7169.0333333333338"/>
    <n v="224439"/>
    <n v="7481.3"/>
    <n v="6581"/>
    <n v="7309"/>
    <n v="215071"/>
    <n v="224439"/>
    <m/>
    <m/>
    <m/>
    <m/>
    <m/>
    <m/>
    <m/>
    <m/>
    <n v="0"/>
    <n v="0"/>
    <n v="0"/>
    <n v="0"/>
    <m/>
    <m/>
    <n v="0"/>
    <n v="0"/>
  </r>
  <r>
    <x v="9"/>
    <s v="Gaston College "/>
    <s v="Met criteria for Two-Year 2 in 2011-12."/>
    <n v="198570"/>
    <x v="6"/>
    <s v="sem"/>
    <s v="sem"/>
    <m/>
    <m/>
    <n v="68772"/>
    <n v="67165"/>
    <n v="15375"/>
    <n v="9057"/>
    <n v="67180"/>
    <n v="63331"/>
    <n v="151327"/>
    <n v="5044.2333333333336"/>
    <n v="139553"/>
    <n v="4651.7666666666664"/>
    <n v="5432"/>
    <n v="5038"/>
    <n v="151327"/>
    <n v="139553"/>
    <m/>
    <m/>
    <m/>
    <m/>
    <m/>
    <m/>
    <m/>
    <m/>
    <n v="0"/>
    <n v="0"/>
    <n v="0"/>
    <n v="0"/>
    <m/>
    <m/>
    <n v="0"/>
    <n v="0"/>
  </r>
  <r>
    <x v="9"/>
    <s v="Guilford Technical Community College"/>
    <m/>
    <n v="198622"/>
    <x v="6"/>
    <s v="sem"/>
    <s v="sem"/>
    <m/>
    <m/>
    <n v="140188"/>
    <n v="156501"/>
    <n v="35269"/>
    <n v="40673"/>
    <n v="157990"/>
    <n v="160149"/>
    <n v="333447"/>
    <n v="11114.9"/>
    <n v="357323"/>
    <n v="11910.766666666666"/>
    <n v="3428"/>
    <n v="4099"/>
    <n v="333447"/>
    <n v="357323"/>
    <m/>
    <m/>
    <m/>
    <m/>
    <m/>
    <m/>
    <m/>
    <m/>
    <n v="0"/>
    <n v="0"/>
    <n v="0"/>
    <n v="0"/>
    <m/>
    <m/>
    <n v="0"/>
    <n v="0"/>
  </r>
  <r>
    <x v="9"/>
    <s v="Pitt Community College"/>
    <m/>
    <n v="199333"/>
    <x v="6"/>
    <s v="sem"/>
    <s v="sem"/>
    <m/>
    <m/>
    <n v="76578"/>
    <n v="84768"/>
    <n v="26386"/>
    <n v="28416"/>
    <n v="85095"/>
    <n v="85617"/>
    <n v="188059"/>
    <n v="6268.6333333333332"/>
    <n v="198801"/>
    <n v="6626.7"/>
    <n v="3832"/>
    <n v="1906"/>
    <n v="188059"/>
    <n v="198801"/>
    <m/>
    <m/>
    <m/>
    <m/>
    <m/>
    <m/>
    <m/>
    <m/>
    <n v="0"/>
    <n v="0"/>
    <n v="0"/>
    <n v="0"/>
    <m/>
    <m/>
    <n v="0"/>
    <n v="0"/>
  </r>
  <r>
    <x v="9"/>
    <s v="Rowan-Cabarrus Community College"/>
    <m/>
    <n v="199494"/>
    <x v="6"/>
    <s v="sem"/>
    <s v="sem"/>
    <m/>
    <m/>
    <n v="69916"/>
    <n v="70803"/>
    <n v="20985"/>
    <n v="20290"/>
    <n v="75362"/>
    <n v="69939"/>
    <n v="166263"/>
    <n v="5542.1"/>
    <n v="161032"/>
    <n v="5367.7333333333336"/>
    <n v="4027"/>
    <n v="5700"/>
    <n v="166263"/>
    <n v="161032"/>
    <m/>
    <m/>
    <m/>
    <m/>
    <m/>
    <m/>
    <m/>
    <m/>
    <n v="0"/>
    <n v="0"/>
    <n v="0"/>
    <n v="0"/>
    <m/>
    <m/>
    <n v="0"/>
    <n v="0"/>
  </r>
  <r>
    <x v="9"/>
    <s v="Wake Technical Community College"/>
    <m/>
    <n v="199856"/>
    <x v="6"/>
    <s v="sem"/>
    <s v="sem"/>
    <m/>
    <m/>
    <n v="146233"/>
    <n v="166641"/>
    <n v="33523"/>
    <n v="36898"/>
    <n v="168403"/>
    <n v="179066"/>
    <n v="348159"/>
    <n v="11605.3"/>
    <n v="382605"/>
    <n v="12753.5"/>
    <n v="3885"/>
    <n v="4379"/>
    <n v="348159"/>
    <n v="382605"/>
    <m/>
    <m/>
    <m/>
    <m/>
    <m/>
    <m/>
    <m/>
    <m/>
    <n v="0"/>
    <n v="0"/>
    <n v="0"/>
    <n v="0"/>
    <m/>
    <m/>
    <n v="0"/>
    <n v="0"/>
  </r>
  <r>
    <x v="9"/>
    <s v="Alamance Community College"/>
    <m/>
    <n v="199786"/>
    <x v="7"/>
    <s v="sem"/>
    <s v="sem"/>
    <m/>
    <m/>
    <n v="52037"/>
    <n v="50548"/>
    <n v="12400"/>
    <n v="12143"/>
    <n v="53057"/>
    <n v="49610"/>
    <n v="117494"/>
    <n v="3916.4666666666667"/>
    <n v="112301"/>
    <n v="3743.3666666666668"/>
    <n v="5158"/>
    <n v="4697"/>
    <n v="117494"/>
    <n v="112301"/>
    <m/>
    <m/>
    <m/>
    <m/>
    <m/>
    <m/>
    <m/>
    <m/>
    <n v="0"/>
    <n v="0"/>
    <n v="0"/>
    <n v="0"/>
    <m/>
    <m/>
    <n v="0"/>
    <n v="0"/>
  </r>
  <r>
    <x v="9"/>
    <s v="Caldwell Community College &amp; Technical Institute"/>
    <m/>
    <n v="198118"/>
    <x v="7"/>
    <s v="sem"/>
    <s v="sem"/>
    <m/>
    <m/>
    <n v="46842"/>
    <n v="46092"/>
    <n v="12267"/>
    <n v="11989"/>
    <n v="48475"/>
    <n v="48584"/>
    <n v="107584"/>
    <n v="3586.1333333333332"/>
    <n v="106665"/>
    <n v="3555.5"/>
    <n v="7903"/>
    <n v="9167"/>
    <n v="107584"/>
    <n v="106665"/>
    <m/>
    <m/>
    <m/>
    <m/>
    <m/>
    <m/>
    <m/>
    <m/>
    <n v="0"/>
    <n v="0"/>
    <n v="0"/>
    <n v="0"/>
    <m/>
    <m/>
    <n v="0"/>
    <n v="0"/>
  </r>
  <r>
    <x v="9"/>
    <s v="Catawba Valley Community College"/>
    <m/>
    <n v="198233"/>
    <x v="7"/>
    <s v="sem"/>
    <s v="sem"/>
    <m/>
    <m/>
    <n v="53475"/>
    <n v="52101"/>
    <n v="17691"/>
    <n v="15020"/>
    <n v="54707"/>
    <n v="51367"/>
    <n v="125873"/>
    <n v="4195.7666666666664"/>
    <n v="118488"/>
    <n v="3949.6"/>
    <n v="7093"/>
    <n v="7057"/>
    <n v="125873"/>
    <n v="118488"/>
    <m/>
    <m/>
    <m/>
    <m/>
    <m/>
    <m/>
    <m/>
    <m/>
    <n v="0"/>
    <n v="0"/>
    <n v="0"/>
    <n v="0"/>
    <m/>
    <m/>
    <n v="0"/>
    <n v="0"/>
  </r>
  <r>
    <x v="9"/>
    <s v="Central Carolina Commuity College"/>
    <m/>
    <n v="198251"/>
    <x v="7"/>
    <s v="sem"/>
    <s v="sem"/>
    <m/>
    <m/>
    <n v="46970"/>
    <n v="44799"/>
    <n v="8833"/>
    <n v="8096"/>
    <n v="48364"/>
    <n v="43605"/>
    <n v="104167"/>
    <n v="3472.2333333333331"/>
    <n v="96500"/>
    <n v="3216.6666666666665"/>
    <n v="6991"/>
    <n v="7198"/>
    <n v="104167"/>
    <n v="96500"/>
    <m/>
    <m/>
    <m/>
    <m/>
    <m/>
    <m/>
    <m/>
    <m/>
    <n v="0"/>
    <n v="0"/>
    <n v="0"/>
    <n v="0"/>
    <m/>
    <m/>
    <n v="0"/>
    <n v="0"/>
  </r>
  <r>
    <x v="9"/>
    <s v="Cleveland Community College"/>
    <m/>
    <n v="198321"/>
    <x v="7"/>
    <s v="sem"/>
    <s v="sem"/>
    <m/>
    <m/>
    <n v="43416"/>
    <n v="36088"/>
    <n v="9303"/>
    <n v="6284"/>
    <n v="40440"/>
    <n v="35825"/>
    <n v="93159"/>
    <n v="3105.3"/>
    <n v="78197"/>
    <n v="2606.5666666666666"/>
    <n v="13664"/>
    <n v="9548"/>
    <n v="93159"/>
    <n v="78197"/>
    <m/>
    <m/>
    <m/>
    <m/>
    <m/>
    <m/>
    <m/>
    <m/>
    <n v="0"/>
    <n v="0"/>
    <n v="0"/>
    <n v="0"/>
    <m/>
    <m/>
    <n v="0"/>
    <n v="0"/>
  </r>
  <r>
    <x v="9"/>
    <s v="Coastal Carolina Community College "/>
    <m/>
    <n v="198330"/>
    <x v="7"/>
    <s v="sem"/>
    <s v="sem"/>
    <m/>
    <m/>
    <n v="46738"/>
    <n v="46043"/>
    <n v="20701"/>
    <n v="18294"/>
    <n v="48488"/>
    <n v="45408"/>
    <n v="115927"/>
    <n v="3864.2333333333331"/>
    <n v="109745"/>
    <n v="3658.1666666666665"/>
    <n v="485"/>
    <n v="485"/>
    <n v="115927"/>
    <n v="109745"/>
    <m/>
    <m/>
    <m/>
    <m/>
    <m/>
    <m/>
    <m/>
    <m/>
    <n v="0"/>
    <n v="0"/>
    <n v="0"/>
    <n v="0"/>
    <m/>
    <m/>
    <n v="0"/>
    <n v="0"/>
  </r>
  <r>
    <x v="9"/>
    <s v="Craven Community College "/>
    <m/>
    <n v="198367"/>
    <x v="7"/>
    <s v="sem"/>
    <s v="sem"/>
    <m/>
    <m/>
    <n v="34169"/>
    <n v="33937"/>
    <n v="10880"/>
    <n v="11016"/>
    <n v="33781"/>
    <n v="33761"/>
    <n v="78830"/>
    <n v="2627.6666666666665"/>
    <n v="78714"/>
    <n v="2623.8"/>
    <n v="3602"/>
    <n v="3973"/>
    <n v="78830"/>
    <n v="78714"/>
    <m/>
    <m/>
    <m/>
    <m/>
    <m/>
    <m/>
    <m/>
    <m/>
    <n v="0"/>
    <n v="0"/>
    <n v="0"/>
    <n v="0"/>
    <m/>
    <m/>
    <n v="0"/>
    <n v="0"/>
  </r>
  <r>
    <x v="9"/>
    <s v="Davidson County Community College "/>
    <m/>
    <n v="198376"/>
    <x v="7"/>
    <s v="sem"/>
    <s v="sem"/>
    <m/>
    <m/>
    <n v="40297"/>
    <n v="42222"/>
    <n v="11417"/>
    <n v="12076"/>
    <n v="44297"/>
    <n v="42852"/>
    <n v="96011"/>
    <n v="3200.3666666666668"/>
    <n v="97150"/>
    <n v="3238.3333333333335"/>
    <n v="6479"/>
    <n v="5607"/>
    <n v="96011"/>
    <n v="97150"/>
    <m/>
    <m/>
    <m/>
    <m/>
    <m/>
    <m/>
    <m/>
    <m/>
    <n v="0"/>
    <n v="0"/>
    <n v="0"/>
    <n v="0"/>
    <m/>
    <m/>
    <n v="0"/>
    <n v="0"/>
  </r>
  <r>
    <x v="9"/>
    <s v="Durham Technical Community College"/>
    <m/>
    <n v="198455"/>
    <x v="7"/>
    <s v="sem"/>
    <s v="sem"/>
    <m/>
    <m/>
    <n v="45379"/>
    <n v="48982"/>
    <n v="11684"/>
    <n v="11736"/>
    <n v="48231"/>
    <n v="44515"/>
    <n v="105294"/>
    <n v="3509.8"/>
    <n v="105233"/>
    <n v="3507.7666666666669"/>
    <n v="2508"/>
    <n v="2515"/>
    <n v="105294"/>
    <n v="105233"/>
    <m/>
    <m/>
    <m/>
    <m/>
    <m/>
    <m/>
    <m/>
    <m/>
    <n v="0"/>
    <n v="0"/>
    <n v="0"/>
    <n v="0"/>
    <m/>
    <m/>
    <n v="0"/>
    <n v="0"/>
  </r>
  <r>
    <x v="9"/>
    <s v="Edgecombe Community College"/>
    <m/>
    <n v="198491"/>
    <x v="7"/>
    <s v="sem"/>
    <s v="sem"/>
    <m/>
    <m/>
    <n v="31589"/>
    <n v="32378"/>
    <n v="9479"/>
    <n v="9327"/>
    <n v="34423"/>
    <n v="32228"/>
    <n v="75491"/>
    <n v="2516.3666666666668"/>
    <n v="73933"/>
    <n v="2464.4333333333334"/>
    <n v="2952"/>
    <n v="2422"/>
    <n v="75491"/>
    <n v="73933"/>
    <m/>
    <m/>
    <m/>
    <m/>
    <m/>
    <m/>
    <m/>
    <m/>
    <n v="0"/>
    <n v="0"/>
    <n v="0"/>
    <n v="0"/>
    <m/>
    <m/>
    <n v="0"/>
    <n v="0"/>
  </r>
  <r>
    <x v="9"/>
    <s v="Haywood Community College"/>
    <s v="Met criteria for Two-Year 3 in 2011-12."/>
    <n v="198668"/>
    <x v="7"/>
    <s v="sem"/>
    <s v="sem"/>
    <m/>
    <m/>
    <n v="20306"/>
    <n v="20543"/>
    <n v="6422"/>
    <n v="5896"/>
    <n v="22782"/>
    <n v="21929"/>
    <n v="49510"/>
    <n v="1650.3333333333333"/>
    <n v="48368"/>
    <n v="1612.2666666666667"/>
    <n v="6245"/>
    <n v="5618"/>
    <n v="49510"/>
    <n v="48368"/>
    <m/>
    <m/>
    <m/>
    <m/>
    <m/>
    <m/>
    <m/>
    <m/>
    <n v="0"/>
    <n v="0"/>
    <n v="0"/>
    <n v="0"/>
    <m/>
    <m/>
    <n v="0"/>
    <n v="0"/>
  </r>
  <r>
    <x v="9"/>
    <s v="Isothermal Community College "/>
    <m/>
    <n v="198710"/>
    <x v="7"/>
    <s v="sem"/>
    <s v="sem"/>
    <m/>
    <m/>
    <n v="28731"/>
    <n v="27516"/>
    <n v="9412"/>
    <n v="8611"/>
    <n v="28271"/>
    <n v="24437"/>
    <n v="66414"/>
    <n v="2213.8000000000002"/>
    <n v="60564"/>
    <n v="2018.8"/>
    <n v="8277"/>
    <n v="7068"/>
    <n v="66414"/>
    <n v="60564"/>
    <m/>
    <m/>
    <m/>
    <m/>
    <m/>
    <m/>
    <m/>
    <m/>
    <n v="0"/>
    <n v="0"/>
    <n v="0"/>
    <n v="0"/>
    <m/>
    <m/>
    <n v="0"/>
    <n v="0"/>
  </r>
  <r>
    <x v="9"/>
    <s v="Johnston Community College"/>
    <m/>
    <n v="198774"/>
    <x v="7"/>
    <s v="sem"/>
    <s v="sem"/>
    <m/>
    <m/>
    <n v="43799"/>
    <n v="44317"/>
    <n v="2390"/>
    <n v="1515"/>
    <n v="45852"/>
    <n v="46752"/>
    <n v="92041"/>
    <n v="3068.0333333333333"/>
    <n v="92584"/>
    <n v="3086.1333333333332"/>
    <n v="6600"/>
    <n v="5883"/>
    <n v="92041"/>
    <n v="92584"/>
    <m/>
    <m/>
    <m/>
    <m/>
    <m/>
    <m/>
    <m/>
    <m/>
    <n v="0"/>
    <n v="0"/>
    <n v="0"/>
    <n v="0"/>
    <m/>
    <m/>
    <n v="0"/>
    <n v="0"/>
  </r>
  <r>
    <x v="9"/>
    <s v="Lenoir Community College "/>
    <m/>
    <n v="198817"/>
    <x v="7"/>
    <s v="sem"/>
    <s v="sem"/>
    <m/>
    <m/>
    <n v="35050"/>
    <n v="33676"/>
    <n v="11623"/>
    <n v="10881"/>
    <n v="35088"/>
    <n v="32682"/>
    <n v="81761"/>
    <n v="2725.3666666666668"/>
    <n v="77239"/>
    <n v="2574.6333333333332"/>
    <n v="7245"/>
    <n v="8738"/>
    <n v="81761"/>
    <n v="77239"/>
    <m/>
    <m/>
    <m/>
    <m/>
    <m/>
    <m/>
    <m/>
    <m/>
    <n v="0"/>
    <n v="0"/>
    <n v="0"/>
    <n v="0"/>
    <m/>
    <m/>
    <n v="0"/>
    <n v="0"/>
  </r>
  <r>
    <x v="9"/>
    <s v="Mitchell Community College "/>
    <m/>
    <n v="198987"/>
    <x v="7"/>
    <s v="sem"/>
    <s v="sem"/>
    <m/>
    <m/>
    <n v="33493"/>
    <n v="34327"/>
    <n v="7687"/>
    <n v="8519"/>
    <n v="34876"/>
    <n v="35718"/>
    <n v="76056"/>
    <n v="2535.1999999999998"/>
    <n v="78564"/>
    <n v="2618.8000000000002"/>
    <n v="5683"/>
    <n v="7048"/>
    <n v="76056"/>
    <n v="78564"/>
    <m/>
    <m/>
    <m/>
    <m/>
    <m/>
    <m/>
    <m/>
    <m/>
    <n v="0"/>
    <n v="0"/>
    <n v="0"/>
    <n v="0"/>
    <m/>
    <m/>
    <n v="0"/>
    <n v="0"/>
  </r>
  <r>
    <x v="9"/>
    <s v="Nash Community College"/>
    <m/>
    <n v="199087"/>
    <x v="7"/>
    <s v="sem"/>
    <s v="sem"/>
    <m/>
    <m/>
    <n v="28396"/>
    <n v="28392"/>
    <n v="4839"/>
    <n v="4866"/>
    <n v="28711"/>
    <n v="31440"/>
    <n v="61946"/>
    <n v="2064.8666666666668"/>
    <n v="64698"/>
    <n v="2156.6"/>
    <n v="4860"/>
    <n v="5016"/>
    <n v="61946"/>
    <n v="64698"/>
    <m/>
    <m/>
    <m/>
    <m/>
    <m/>
    <m/>
    <m/>
    <m/>
    <n v="0"/>
    <n v="0"/>
    <n v="0"/>
    <n v="0"/>
    <m/>
    <m/>
    <n v="0"/>
    <n v="0"/>
  </r>
  <r>
    <x v="9"/>
    <s v="Randolph Community College"/>
    <m/>
    <n v="199421"/>
    <x v="7"/>
    <s v="sem"/>
    <s v="sem"/>
    <m/>
    <m/>
    <n v="27557"/>
    <n v="27956"/>
    <n v="6613"/>
    <n v="5967"/>
    <n v="29731"/>
    <n v="29558"/>
    <n v="63901"/>
    <n v="2130.0333333333333"/>
    <n v="63481"/>
    <n v="2116.0333333333333"/>
    <n v="6137"/>
    <n v="4965"/>
    <n v="63901"/>
    <n v="63481"/>
    <m/>
    <m/>
    <m/>
    <m/>
    <m/>
    <m/>
    <m/>
    <m/>
    <n v="0"/>
    <n v="0"/>
    <n v="0"/>
    <n v="0"/>
    <m/>
    <m/>
    <n v="0"/>
    <n v="0"/>
  </r>
  <r>
    <x v="9"/>
    <s v="Robeson Community College"/>
    <m/>
    <n v="199476"/>
    <x v="7"/>
    <s v="sem"/>
    <s v="sem"/>
    <m/>
    <m/>
    <n v="27802"/>
    <n v="27587"/>
    <n v="7062"/>
    <n v="6576"/>
    <n v="27671"/>
    <n v="29391"/>
    <n v="62535"/>
    <n v="2084.5"/>
    <n v="63554"/>
    <n v="2118.4666666666667"/>
    <n v="2515"/>
    <n v="2292"/>
    <n v="62535"/>
    <n v="63554"/>
    <m/>
    <m/>
    <m/>
    <m/>
    <m/>
    <m/>
    <m/>
    <m/>
    <n v="0"/>
    <n v="0"/>
    <n v="0"/>
    <n v="0"/>
    <m/>
    <m/>
    <n v="0"/>
    <n v="0"/>
  </r>
  <r>
    <x v="9"/>
    <s v="Sandhills Community College "/>
    <m/>
    <n v="199634"/>
    <x v="7"/>
    <s v="sem"/>
    <s v="sem"/>
    <m/>
    <m/>
    <n v="37425"/>
    <n v="39316"/>
    <n v="12174"/>
    <n v="12244"/>
    <n v="40120"/>
    <n v="39847"/>
    <n v="89719"/>
    <n v="2990.6333333333332"/>
    <n v="91407"/>
    <n v="3046.9"/>
    <n v="3377"/>
    <n v="3311"/>
    <n v="89719"/>
    <n v="91407"/>
    <m/>
    <m/>
    <m/>
    <m/>
    <m/>
    <m/>
    <m/>
    <m/>
    <n v="0"/>
    <n v="0"/>
    <n v="0"/>
    <n v="0"/>
    <m/>
    <m/>
    <n v="0"/>
    <n v="0"/>
  </r>
  <r>
    <x v="9"/>
    <s v="Stanly Community College"/>
    <m/>
    <n v="199740"/>
    <x v="7"/>
    <s v="sem"/>
    <s v="sem"/>
    <m/>
    <m/>
    <n v="29391"/>
    <n v="30381"/>
    <n v="8872"/>
    <n v="7991"/>
    <n v="31180"/>
    <n v="30647"/>
    <n v="69443"/>
    <n v="2314.7666666666669"/>
    <n v="69019"/>
    <n v="2300.6333333333332"/>
    <n v="2903"/>
    <n v="2830"/>
    <n v="69443"/>
    <n v="69019"/>
    <m/>
    <m/>
    <m/>
    <m/>
    <m/>
    <m/>
    <m/>
    <m/>
    <n v="0"/>
    <n v="0"/>
    <n v="0"/>
    <n v="0"/>
    <m/>
    <m/>
    <n v="0"/>
    <n v="0"/>
  </r>
  <r>
    <x v="9"/>
    <s v="Surry Community College "/>
    <m/>
    <n v="199768"/>
    <x v="7"/>
    <s v="sem"/>
    <s v="sem"/>
    <m/>
    <m/>
    <n v="34094"/>
    <n v="32650"/>
    <n v="8554"/>
    <n v="6616"/>
    <n v="34234"/>
    <n v="35128"/>
    <n v="76882"/>
    <n v="2562.7333333333331"/>
    <n v="74394"/>
    <n v="2479.8000000000002"/>
    <n v="7040"/>
    <n v="7513"/>
    <n v="76882"/>
    <n v="74394"/>
    <m/>
    <m/>
    <m/>
    <m/>
    <m/>
    <m/>
    <m/>
    <m/>
    <n v="0"/>
    <n v="0"/>
    <n v="0"/>
    <n v="0"/>
    <m/>
    <m/>
    <n v="0"/>
    <n v="0"/>
  </r>
  <r>
    <x v="9"/>
    <s v="Vance-Granville Community College "/>
    <m/>
    <n v="199838"/>
    <x v="7"/>
    <s v="sem"/>
    <s v="sem"/>
    <m/>
    <m/>
    <n v="40516"/>
    <n v="37606"/>
    <n v="7845"/>
    <n v="6683"/>
    <n v="38866"/>
    <n v="39449"/>
    <n v="87227"/>
    <n v="2907.5666666666666"/>
    <n v="83738"/>
    <n v="2791.2666666666669"/>
    <n v="6495"/>
    <n v="7751"/>
    <n v="87227"/>
    <n v="83738"/>
    <m/>
    <m/>
    <m/>
    <m/>
    <m/>
    <m/>
    <m/>
    <m/>
    <n v="0"/>
    <n v="0"/>
    <n v="0"/>
    <n v="0"/>
    <m/>
    <m/>
    <n v="0"/>
    <n v="0"/>
  </r>
  <r>
    <x v="9"/>
    <s v="Wayne Community College"/>
    <m/>
    <n v="199892"/>
    <x v="7"/>
    <s v="sem"/>
    <s v="sem"/>
    <m/>
    <m/>
    <n v="36396"/>
    <n v="38166"/>
    <n v="7375"/>
    <n v="7943"/>
    <n v="39976"/>
    <n v="38232"/>
    <n v="83747"/>
    <n v="2791.5666666666666"/>
    <n v="84341"/>
    <n v="2811.3666666666668"/>
    <n v="5768"/>
    <n v="5719"/>
    <n v="83747"/>
    <n v="84341"/>
    <m/>
    <m/>
    <m/>
    <m/>
    <m/>
    <m/>
    <m/>
    <m/>
    <n v="0"/>
    <n v="0"/>
    <n v="0"/>
    <n v="0"/>
    <m/>
    <m/>
    <n v="0"/>
    <n v="0"/>
  </r>
  <r>
    <x v="9"/>
    <s v="Western Piedmont Community College "/>
    <m/>
    <n v="199908"/>
    <x v="7"/>
    <s v="sem"/>
    <s v="sem"/>
    <m/>
    <m/>
    <n v="35758"/>
    <n v="33292"/>
    <n v="10455"/>
    <n v="10232"/>
    <n v="35279"/>
    <n v="32716"/>
    <n v="81492"/>
    <n v="2716.4"/>
    <n v="76240"/>
    <n v="2541.3333333333335"/>
    <n v="3711"/>
    <n v="4344"/>
    <n v="81492"/>
    <n v="76240"/>
    <m/>
    <m/>
    <m/>
    <m/>
    <m/>
    <m/>
    <m/>
    <m/>
    <n v="0"/>
    <n v="0"/>
    <n v="0"/>
    <n v="0"/>
    <m/>
    <m/>
    <n v="0"/>
    <n v="0"/>
  </r>
  <r>
    <x v="9"/>
    <s v="Wilkes Community College "/>
    <m/>
    <n v="199926"/>
    <x v="7"/>
    <s v="sem"/>
    <s v="sem"/>
    <m/>
    <m/>
    <n v="29913"/>
    <n v="28350"/>
    <n v="5023"/>
    <n v="5501"/>
    <n v="30882"/>
    <n v="28429"/>
    <n v="65818"/>
    <n v="2193.9333333333334"/>
    <n v="62280"/>
    <n v="2076"/>
    <n v="2329"/>
    <n v="2358"/>
    <n v="65818"/>
    <n v="62280"/>
    <m/>
    <m/>
    <m/>
    <m/>
    <m/>
    <m/>
    <m/>
    <m/>
    <n v="0"/>
    <n v="0"/>
    <n v="0"/>
    <n v="0"/>
    <m/>
    <m/>
    <n v="0"/>
    <n v="0"/>
  </r>
  <r>
    <x v="9"/>
    <s v="Beaufort County Community College "/>
    <m/>
    <n v="197966"/>
    <x v="8"/>
    <s v="sem"/>
    <s v="sem"/>
    <m/>
    <m/>
    <n v="18277"/>
    <n v="17788"/>
    <n v="2472"/>
    <n v="3343"/>
    <n v="19253"/>
    <n v="19184"/>
    <n v="40002"/>
    <n v="1333.4"/>
    <n v="40315"/>
    <n v="1343.8333333333333"/>
    <n v="1325"/>
    <n v="2396"/>
    <n v="40002"/>
    <n v="40315"/>
    <m/>
    <m/>
    <m/>
    <m/>
    <m/>
    <m/>
    <m/>
    <m/>
    <n v="0"/>
    <n v="0"/>
    <n v="0"/>
    <n v="0"/>
    <m/>
    <m/>
    <n v="0"/>
    <n v="0"/>
  </r>
  <r>
    <x v="9"/>
    <s v="Bladen Community College"/>
    <m/>
    <n v="198011"/>
    <x v="8"/>
    <s v="sem"/>
    <s v="sem"/>
    <m/>
    <m/>
    <n v="19038"/>
    <n v="18108"/>
    <n v="3156"/>
    <n v="2366"/>
    <n v="20188"/>
    <n v="17585"/>
    <n v="42382"/>
    <n v="1412.7333333333333"/>
    <n v="38059"/>
    <n v="1268.6333333333334"/>
    <n v="534"/>
    <n v="329"/>
    <n v="42382"/>
    <n v="38059"/>
    <m/>
    <m/>
    <m/>
    <m/>
    <m/>
    <m/>
    <m/>
    <m/>
    <n v="0"/>
    <n v="0"/>
    <n v="0"/>
    <n v="0"/>
    <m/>
    <m/>
    <n v="0"/>
    <n v="0"/>
  </r>
  <r>
    <x v="9"/>
    <s v="Blue Ridge Community College"/>
    <m/>
    <n v="198039"/>
    <x v="8"/>
    <s v="sem"/>
    <s v="sem"/>
    <m/>
    <m/>
    <n v="21642"/>
    <n v="21599"/>
    <n v="6014"/>
    <n v="5334"/>
    <n v="22815"/>
    <n v="22761"/>
    <n v="50471"/>
    <n v="1682.3666666666666"/>
    <n v="49694"/>
    <n v="1656.4666666666667"/>
    <n v="2698"/>
    <n v="3393"/>
    <n v="50471"/>
    <n v="49694"/>
    <m/>
    <m/>
    <m/>
    <m/>
    <m/>
    <m/>
    <m/>
    <m/>
    <n v="0"/>
    <n v="0"/>
    <n v="0"/>
    <n v="0"/>
    <m/>
    <m/>
    <n v="0"/>
    <n v="0"/>
  </r>
  <r>
    <x v="9"/>
    <s v="Brunswick Community College"/>
    <m/>
    <n v="198084"/>
    <x v="8"/>
    <s v="sem"/>
    <s v="sem"/>
    <m/>
    <m/>
    <n v="14990"/>
    <n v="14408"/>
    <n v="764"/>
    <n v="2620"/>
    <n v="15080"/>
    <n v="16033"/>
    <n v="30834"/>
    <n v="1027.8"/>
    <n v="33061"/>
    <n v="1102.0333333333333"/>
    <n v="3095"/>
    <n v="3384"/>
    <n v="30834"/>
    <n v="33061"/>
    <m/>
    <m/>
    <m/>
    <m/>
    <m/>
    <m/>
    <m/>
    <m/>
    <n v="0"/>
    <n v="0"/>
    <n v="0"/>
    <n v="0"/>
    <m/>
    <m/>
    <n v="0"/>
    <n v="0"/>
  </r>
  <r>
    <x v="9"/>
    <s v="Carteret Community College"/>
    <m/>
    <n v="198206"/>
    <x v="8"/>
    <s v="sem"/>
    <s v="sem"/>
    <m/>
    <m/>
    <n v="17828"/>
    <n v="17963"/>
    <n v="4339"/>
    <n v="4289"/>
    <n v="17658"/>
    <n v="17265"/>
    <n v="39825"/>
    <n v="1327.5"/>
    <n v="39517"/>
    <n v="1317.2333333333333"/>
    <n v="723"/>
    <n v="318"/>
    <n v="39825"/>
    <n v="39517"/>
    <m/>
    <m/>
    <m/>
    <m/>
    <m/>
    <m/>
    <m/>
    <m/>
    <n v="0"/>
    <n v="0"/>
    <n v="0"/>
    <n v="0"/>
    <m/>
    <m/>
    <n v="0"/>
    <n v="0"/>
  </r>
  <r>
    <x v="9"/>
    <s v="College of the Albemarle"/>
    <m/>
    <n v="197814"/>
    <x v="8"/>
    <s v="sem"/>
    <s v="sem"/>
    <m/>
    <m/>
    <n v="25142"/>
    <n v="25427"/>
    <n v="2369"/>
    <n v="3654"/>
    <n v="26351"/>
    <n v="27340"/>
    <n v="53862"/>
    <n v="1795.4"/>
    <n v="56421"/>
    <n v="1880.7"/>
    <n v="2514"/>
    <n v="3637"/>
    <n v="53862"/>
    <n v="56421"/>
    <m/>
    <m/>
    <m/>
    <m/>
    <m/>
    <m/>
    <m/>
    <m/>
    <n v="0"/>
    <n v="0"/>
    <n v="0"/>
    <n v="0"/>
    <m/>
    <m/>
    <n v="0"/>
    <n v="0"/>
  </r>
  <r>
    <x v="9"/>
    <s v="Halifax Community College "/>
    <m/>
    <n v="198640"/>
    <x v="8"/>
    <s v="sem"/>
    <s v="sem"/>
    <m/>
    <m/>
    <n v="18097"/>
    <n v="17643"/>
    <n v="3347"/>
    <n v="2667"/>
    <n v="18744"/>
    <n v="16975"/>
    <n v="40188"/>
    <n v="1339.6"/>
    <n v="37285"/>
    <n v="1242.8333333333333"/>
    <n v="628"/>
    <n v="864"/>
    <n v="40188"/>
    <n v="37285"/>
    <m/>
    <m/>
    <m/>
    <m/>
    <m/>
    <m/>
    <m/>
    <m/>
    <n v="0"/>
    <n v="0"/>
    <n v="0"/>
    <n v="0"/>
    <m/>
    <m/>
    <n v="0"/>
    <n v="0"/>
  </r>
  <r>
    <x v="9"/>
    <s v="James Sprunt Community College"/>
    <m/>
    <n v="198729"/>
    <x v="8"/>
    <s v="sem"/>
    <s v="sem"/>
    <m/>
    <m/>
    <n v="15432"/>
    <n v="15512"/>
    <n v="1990"/>
    <n v="1354"/>
    <n v="15432"/>
    <n v="15505"/>
    <n v="32854"/>
    <n v="1095.1333333333334"/>
    <n v="32371"/>
    <n v="1079.0333333333333"/>
    <n v="3342"/>
    <n v="3607"/>
    <n v="32854"/>
    <n v="32371"/>
    <m/>
    <m/>
    <m/>
    <m/>
    <m/>
    <m/>
    <m/>
    <m/>
    <n v="0"/>
    <n v="0"/>
    <n v="0"/>
    <n v="0"/>
    <m/>
    <m/>
    <n v="0"/>
    <n v="0"/>
  </r>
  <r>
    <x v="9"/>
    <s v="Martin Community College "/>
    <m/>
    <n v="198905"/>
    <x v="8"/>
    <s v="sem"/>
    <s v="sem"/>
    <m/>
    <m/>
    <n v="7474"/>
    <n v="8277"/>
    <n v="557"/>
    <n v="487"/>
    <n v="8237"/>
    <n v="8321"/>
    <n v="16268"/>
    <n v="542.26666666666665"/>
    <n v="17085"/>
    <n v="569.5"/>
    <n v="512"/>
    <n v="667"/>
    <n v="16268"/>
    <n v="17085"/>
    <m/>
    <m/>
    <m/>
    <m/>
    <m/>
    <m/>
    <m/>
    <m/>
    <n v="0"/>
    <n v="0"/>
    <n v="0"/>
    <n v="0"/>
    <m/>
    <m/>
    <n v="0"/>
    <n v="0"/>
  </r>
  <r>
    <x v="9"/>
    <s v="Mayland Community College"/>
    <m/>
    <n v="198914"/>
    <x v="8"/>
    <s v="sem"/>
    <s v="sem"/>
    <m/>
    <m/>
    <n v="14330"/>
    <n v="10602"/>
    <n v="2475"/>
    <n v="739"/>
    <n v="12030"/>
    <n v="10627"/>
    <n v="28835"/>
    <n v="961.16666666666663"/>
    <n v="21968"/>
    <n v="732.26666666666665"/>
    <n v="5376"/>
    <n v="4794"/>
    <n v="28835"/>
    <n v="21968"/>
    <m/>
    <m/>
    <m/>
    <m/>
    <m/>
    <m/>
    <m/>
    <m/>
    <n v="0"/>
    <n v="0"/>
    <n v="0"/>
    <n v="0"/>
    <m/>
    <m/>
    <n v="0"/>
    <n v="0"/>
  </r>
  <r>
    <x v="9"/>
    <s v="McDowell Technical Community College"/>
    <m/>
    <n v="198923"/>
    <x v="8"/>
    <s v="sem"/>
    <s v="sem"/>
    <m/>
    <m/>
    <n v="14995"/>
    <n v="13314"/>
    <n v="6649"/>
    <n v="5164"/>
    <n v="15283"/>
    <n v="12402"/>
    <n v="36927"/>
    <n v="1230.9000000000001"/>
    <n v="30880"/>
    <n v="1029.3333333333333"/>
    <n v="3229"/>
    <n v="2538"/>
    <n v="36927"/>
    <n v="30880"/>
    <m/>
    <m/>
    <m/>
    <m/>
    <m/>
    <m/>
    <m/>
    <m/>
    <n v="0"/>
    <n v="0"/>
    <n v="0"/>
    <n v="0"/>
    <m/>
    <m/>
    <n v="0"/>
    <n v="0"/>
  </r>
  <r>
    <x v="9"/>
    <s v="Montgomery Community College"/>
    <m/>
    <n v="199023"/>
    <x v="8"/>
    <s v="sem"/>
    <s v="sem"/>
    <m/>
    <m/>
    <n v="9177"/>
    <n v="8089"/>
    <n v="2140"/>
    <n v="2545"/>
    <n v="8478"/>
    <n v="7871"/>
    <n v="19795"/>
    <n v="659.83333333333337"/>
    <n v="18505"/>
    <n v="616.83333333333337"/>
    <n v="1028"/>
    <n v="629"/>
    <n v="19795"/>
    <n v="18505"/>
    <m/>
    <m/>
    <m/>
    <m/>
    <m/>
    <m/>
    <m/>
    <m/>
    <n v="0"/>
    <n v="0"/>
    <n v="0"/>
    <n v="0"/>
    <m/>
    <m/>
    <n v="0"/>
    <n v="0"/>
  </r>
  <r>
    <x v="9"/>
    <s v="Pamlico Community College"/>
    <m/>
    <n v="199263"/>
    <x v="8"/>
    <s v="sem"/>
    <s v="sem"/>
    <m/>
    <m/>
    <n v="5934"/>
    <n v="6022"/>
    <n v="920"/>
    <n v="841"/>
    <n v="5849"/>
    <n v="4360"/>
    <n v="12703"/>
    <n v="423.43333333333334"/>
    <n v="11223"/>
    <n v="374.1"/>
    <n v="1938"/>
    <n v="2068"/>
    <n v="12703"/>
    <n v="11223"/>
    <m/>
    <m/>
    <m/>
    <m/>
    <m/>
    <m/>
    <m/>
    <m/>
    <n v="0"/>
    <n v="0"/>
    <n v="0"/>
    <n v="0"/>
    <m/>
    <m/>
    <n v="0"/>
    <n v="0"/>
  </r>
  <r>
    <x v="9"/>
    <s v="Piedmont Community College"/>
    <m/>
    <n v="199324"/>
    <x v="8"/>
    <s v="sem"/>
    <s v="sem"/>
    <m/>
    <m/>
    <n v="25865"/>
    <n v="23378"/>
    <n v="3964"/>
    <n v="1627"/>
    <n v="25693"/>
    <n v="20981"/>
    <n v="55522"/>
    <n v="1850.7333333333333"/>
    <n v="45986"/>
    <n v="1532.8666666666666"/>
    <n v="7831"/>
    <n v="6625"/>
    <n v="55522"/>
    <n v="45986"/>
    <m/>
    <m/>
    <m/>
    <m/>
    <m/>
    <m/>
    <m/>
    <m/>
    <n v="0"/>
    <n v="0"/>
    <n v="0"/>
    <n v="0"/>
    <m/>
    <m/>
    <n v="0"/>
    <n v="0"/>
  </r>
  <r>
    <x v="9"/>
    <s v="Richmond Community College"/>
    <m/>
    <n v="199449"/>
    <x v="8"/>
    <s v="sem"/>
    <s v="sem"/>
    <m/>
    <m/>
    <n v="16712"/>
    <n v="20054"/>
    <n v="3670"/>
    <n v="5547"/>
    <n v="19661"/>
    <n v="25683"/>
    <n v="40043"/>
    <n v="1334.7666666666667"/>
    <n v="51284"/>
    <n v="1709.4666666666667"/>
    <n v="3054"/>
    <n v="4749"/>
    <n v="40043"/>
    <n v="51284"/>
    <m/>
    <m/>
    <m/>
    <m/>
    <m/>
    <m/>
    <m/>
    <m/>
    <n v="0"/>
    <n v="0"/>
    <n v="0"/>
    <n v="0"/>
    <m/>
    <m/>
    <n v="0"/>
    <n v="0"/>
  </r>
  <r>
    <x v="9"/>
    <s v="Roanoke-Chowan Community College"/>
    <m/>
    <n v="199467"/>
    <x v="8"/>
    <s v="sem"/>
    <s v="sem"/>
    <m/>
    <m/>
    <n v="8684"/>
    <n v="9253"/>
    <n v="168"/>
    <n v="12"/>
    <n v="9026"/>
    <n v="9465"/>
    <n v="17878"/>
    <n v="595.93333333333328"/>
    <n v="18730"/>
    <n v="624.33333333333337"/>
    <n v="1481"/>
    <n v="1996"/>
    <n v="17878"/>
    <n v="18730"/>
    <m/>
    <m/>
    <m/>
    <m/>
    <m/>
    <m/>
    <m/>
    <m/>
    <n v="0"/>
    <n v="0"/>
    <n v="0"/>
    <n v="0"/>
    <m/>
    <m/>
    <n v="0"/>
    <n v="0"/>
  </r>
  <r>
    <x v="9"/>
    <s v="Rockingham Community College "/>
    <m/>
    <n v="199485"/>
    <x v="8"/>
    <s v="sem"/>
    <s v="sem"/>
    <m/>
    <m/>
    <n v="23243"/>
    <n v="23120"/>
    <n v="5276"/>
    <n v="5094"/>
    <n v="24888"/>
    <n v="22961"/>
    <n v="53407"/>
    <n v="1780.2333333333333"/>
    <n v="51175"/>
    <n v="1705.8333333333333"/>
    <n v="1546"/>
    <n v="2020"/>
    <n v="53407"/>
    <n v="51175"/>
    <m/>
    <m/>
    <m/>
    <m/>
    <m/>
    <m/>
    <m/>
    <m/>
    <n v="0"/>
    <n v="0"/>
    <n v="0"/>
    <n v="0"/>
    <m/>
    <m/>
    <n v="0"/>
    <n v="0"/>
  </r>
  <r>
    <x v="9"/>
    <s v="Sampson Community College"/>
    <m/>
    <n v="199625"/>
    <x v="8"/>
    <s v="sem"/>
    <s v="sem"/>
    <m/>
    <m/>
    <n v="15956"/>
    <n v="15383"/>
    <n v="1366"/>
    <n v="921"/>
    <n v="16239"/>
    <n v="15842"/>
    <n v="33561"/>
    <n v="1118.7"/>
    <n v="32146"/>
    <n v="1071.5333333333333"/>
    <n v="3862"/>
    <n v="3463"/>
    <n v="33561"/>
    <n v="32146"/>
    <m/>
    <m/>
    <m/>
    <m/>
    <m/>
    <m/>
    <m/>
    <m/>
    <n v="0"/>
    <n v="0"/>
    <n v="0"/>
    <n v="0"/>
    <m/>
    <m/>
    <n v="0"/>
    <n v="0"/>
  </r>
  <r>
    <x v="9"/>
    <s v="South Piedmont Community College"/>
    <m/>
    <n v="197850"/>
    <x v="8"/>
    <s v="sem"/>
    <s v="sem"/>
    <m/>
    <m/>
    <n v="24291"/>
    <n v="22358"/>
    <n v="4058"/>
    <n v="3778"/>
    <n v="24924"/>
    <n v="22836"/>
    <n v="53273"/>
    <n v="1775.7666666666667"/>
    <n v="48972"/>
    <n v="1632.4"/>
    <n v="6205"/>
    <n v="6184"/>
    <n v="53273"/>
    <n v="48972"/>
    <m/>
    <m/>
    <m/>
    <m/>
    <m/>
    <m/>
    <m/>
    <m/>
    <n v="0"/>
    <n v="0"/>
    <n v="0"/>
    <n v="0"/>
    <m/>
    <m/>
    <n v="0"/>
    <n v="0"/>
  </r>
  <r>
    <x v="9"/>
    <s v="Southeastern Community College "/>
    <m/>
    <n v="199722"/>
    <x v="8"/>
    <s v="sem"/>
    <s v="sem"/>
    <m/>
    <m/>
    <n v="20834"/>
    <n v="20344"/>
    <n v="7242"/>
    <n v="6167"/>
    <n v="21432"/>
    <n v="19910"/>
    <n v="49508"/>
    <n v="1650.2666666666667"/>
    <n v="46421"/>
    <n v="1547.3666666666666"/>
    <n v="3653"/>
    <n v="3155"/>
    <n v="49508"/>
    <n v="46421"/>
    <m/>
    <m/>
    <m/>
    <m/>
    <m/>
    <m/>
    <m/>
    <m/>
    <n v="0"/>
    <n v="0"/>
    <n v="0"/>
    <n v="0"/>
    <m/>
    <m/>
    <n v="0"/>
    <n v="0"/>
  </r>
  <r>
    <x v="9"/>
    <s v="Southwestern Community College "/>
    <m/>
    <n v="199731"/>
    <x v="8"/>
    <s v="sem"/>
    <s v="sem"/>
    <m/>
    <m/>
    <n v="23336"/>
    <n v="23284"/>
    <n v="6768"/>
    <n v="6230"/>
    <n v="25165"/>
    <n v="24518"/>
    <n v="55269"/>
    <n v="1842.3"/>
    <n v="54032"/>
    <n v="1801.0666666666666"/>
    <n v="6507"/>
    <n v="6519"/>
    <n v="55269"/>
    <n v="54032"/>
    <m/>
    <m/>
    <m/>
    <m/>
    <m/>
    <m/>
    <m/>
    <m/>
    <n v="0"/>
    <n v="0"/>
    <n v="0"/>
    <n v="0"/>
    <m/>
    <m/>
    <n v="0"/>
    <n v="0"/>
  </r>
  <r>
    <x v="9"/>
    <s v="Tri-County Community College "/>
    <m/>
    <n v="199795"/>
    <x v="8"/>
    <s v="sem"/>
    <s v="sem"/>
    <m/>
    <m/>
    <n v="13265"/>
    <n v="13228"/>
    <n v="2847"/>
    <n v="2482"/>
    <n v="13747"/>
    <n v="14264"/>
    <n v="29859"/>
    <n v="995.3"/>
    <n v="29974"/>
    <n v="999.13333333333333"/>
    <n v="4641"/>
    <n v="4175"/>
    <n v="29859"/>
    <n v="29974"/>
    <m/>
    <m/>
    <m/>
    <m/>
    <m/>
    <m/>
    <m/>
    <m/>
    <n v="0"/>
    <n v="0"/>
    <n v="0"/>
    <n v="0"/>
    <m/>
    <m/>
    <n v="0"/>
    <n v="0"/>
  </r>
  <r>
    <x v="9"/>
    <s v="Wilson Community College"/>
    <m/>
    <n v="199953"/>
    <x v="8"/>
    <s v="sem"/>
    <s v="sem"/>
    <m/>
    <m/>
    <n v="20528"/>
    <n v="20169"/>
    <n v="10769"/>
    <n v="9033"/>
    <n v="20687"/>
    <n v="18219"/>
    <n v="51984"/>
    <n v="1732.8"/>
    <n v="47421"/>
    <n v="1580.7"/>
    <n v="1143"/>
    <n v="1692"/>
    <n v="51984"/>
    <n v="47421"/>
    <m/>
    <m/>
    <m/>
    <m/>
    <m/>
    <m/>
    <m/>
    <m/>
    <n v="0"/>
    <n v="0"/>
    <n v="0"/>
    <n v="0"/>
    <m/>
    <m/>
    <n v="0"/>
    <n v="0"/>
  </r>
  <r>
    <x v="10"/>
    <s v="Oklahoma State University Main Campus"/>
    <m/>
    <n v="207388"/>
    <x v="0"/>
    <s v="sem"/>
    <s v="sem"/>
    <m/>
    <m/>
    <n v="222595"/>
    <n v="243811"/>
    <n v="29689"/>
    <n v="32147"/>
    <n v="293080"/>
    <n v="268237"/>
    <n v="545364"/>
    <n v="18178.8"/>
    <n v="544195"/>
    <n v="18139.833333333332"/>
    <n v="693"/>
    <n v="1384"/>
    <n v="545364"/>
    <n v="544195"/>
    <m/>
    <m/>
    <m/>
    <m/>
    <m/>
    <m/>
    <m/>
    <m/>
    <n v="0"/>
    <n v="0"/>
    <n v="0"/>
    <n v="0"/>
    <m/>
    <m/>
    <n v="0"/>
    <n v="0"/>
  </r>
  <r>
    <x v="10"/>
    <s v="University of Oklahoma Norman Campus"/>
    <m/>
    <n v="207500"/>
    <x v="0"/>
    <s v="sem"/>
    <s v="sem"/>
    <m/>
    <m/>
    <n v="239876"/>
    <n v="242922"/>
    <n v="27517"/>
    <n v="34284"/>
    <n v="259990"/>
    <n v="269398"/>
    <n v="527383"/>
    <n v="17579.433333333334"/>
    <n v="546604"/>
    <n v="18220.133333333335"/>
    <n v="297"/>
    <n v="578"/>
    <n v="527383"/>
    <n v="546604"/>
    <m/>
    <m/>
    <m/>
    <m/>
    <m/>
    <m/>
    <m/>
    <m/>
    <n v="0"/>
    <n v="0"/>
    <n v="0"/>
    <n v="0"/>
    <m/>
    <m/>
    <n v="0"/>
    <n v="0"/>
  </r>
  <r>
    <x v="10"/>
    <s v="Northeastern State University"/>
    <m/>
    <n v="207263"/>
    <x v="2"/>
    <s v="sem"/>
    <s v="sem"/>
    <m/>
    <m/>
    <n v="91975"/>
    <n v="94451"/>
    <n v="19638"/>
    <n v="19543"/>
    <n v="97826"/>
    <n v="97194"/>
    <n v="209439"/>
    <n v="6981.3"/>
    <n v="211188"/>
    <n v="7039.6"/>
    <n v="558"/>
    <n v="1257"/>
    <n v="209439"/>
    <n v="211188"/>
    <m/>
    <m/>
    <m/>
    <m/>
    <m/>
    <m/>
    <m/>
    <m/>
    <n v="0"/>
    <n v="0"/>
    <n v="0"/>
    <n v="0"/>
    <m/>
    <m/>
    <n v="0"/>
    <n v="0"/>
  </r>
  <r>
    <x v="10"/>
    <s v="University of Central Oklahoma"/>
    <m/>
    <n v="206941"/>
    <x v="2"/>
    <s v="sem"/>
    <s v="sem"/>
    <m/>
    <m/>
    <n v="156734"/>
    <n v="163355"/>
    <n v="26986"/>
    <n v="28818"/>
    <n v="177435"/>
    <n v="181141"/>
    <n v="361155"/>
    <n v="12038.5"/>
    <n v="373314"/>
    <n v="12443.8"/>
    <n v="925"/>
    <n v="1280"/>
    <n v="361155"/>
    <n v="373314"/>
    <m/>
    <m/>
    <m/>
    <m/>
    <m/>
    <m/>
    <m/>
    <m/>
    <n v="0"/>
    <n v="0"/>
    <n v="0"/>
    <n v="0"/>
    <m/>
    <m/>
    <n v="0"/>
    <n v="0"/>
  </r>
  <r>
    <x v="10"/>
    <s v="Cameron University "/>
    <m/>
    <n v="206914"/>
    <x v="4"/>
    <s v="sem"/>
    <s v="sem"/>
    <m/>
    <m/>
    <n v="60070"/>
    <n v="60437"/>
    <n v="13577"/>
    <n v="13235"/>
    <n v="65020"/>
    <n v="65372"/>
    <n v="138667"/>
    <n v="4622.2333333333336"/>
    <n v="139044"/>
    <n v="4634.8"/>
    <n v="712"/>
    <n v="2388"/>
    <n v="138667"/>
    <n v="139044"/>
    <m/>
    <m/>
    <m/>
    <m/>
    <m/>
    <m/>
    <m/>
    <m/>
    <n v="0"/>
    <n v="0"/>
    <n v="0"/>
    <n v="0"/>
    <m/>
    <m/>
    <n v="0"/>
    <n v="0"/>
  </r>
  <r>
    <x v="10"/>
    <s v="East Central University "/>
    <m/>
    <n v="207041"/>
    <x v="4"/>
    <s v="sem"/>
    <s v="sem"/>
    <m/>
    <m/>
    <n v="45657"/>
    <n v="47494"/>
    <n v="9704"/>
    <n v="9511"/>
    <n v="50905"/>
    <n v="49659"/>
    <n v="106266"/>
    <n v="3542.2"/>
    <n v="106664"/>
    <n v="3555.4666666666667"/>
    <n v="502"/>
    <n v="924"/>
    <n v="106266"/>
    <n v="106664"/>
    <m/>
    <m/>
    <m/>
    <m/>
    <m/>
    <m/>
    <m/>
    <m/>
    <n v="0"/>
    <n v="0"/>
    <n v="0"/>
    <n v="0"/>
    <m/>
    <m/>
    <n v="0"/>
    <n v="0"/>
  </r>
  <r>
    <x v="10"/>
    <s v="Langston University"/>
    <m/>
    <n v="207209"/>
    <x v="4"/>
    <s v="sem"/>
    <s v="sem"/>
    <m/>
    <m/>
    <n v="27921"/>
    <n v="27007"/>
    <n v="4684"/>
    <n v="4709"/>
    <n v="29520"/>
    <n v="30254"/>
    <n v="62125"/>
    <n v="2070.8333333333335"/>
    <n v="61970"/>
    <n v="2065.6666666666665"/>
    <n v="3"/>
    <n v="23"/>
    <n v="62125"/>
    <n v="61970"/>
    <m/>
    <m/>
    <m/>
    <m/>
    <m/>
    <m/>
    <m/>
    <m/>
    <n v="0"/>
    <n v="0"/>
    <n v="0"/>
    <n v="0"/>
    <m/>
    <m/>
    <n v="0"/>
    <n v="0"/>
  </r>
  <r>
    <x v="10"/>
    <s v="Northwestern Oklahoma State University "/>
    <m/>
    <n v="207306"/>
    <x v="4"/>
    <s v="sem"/>
    <s v="sem"/>
    <m/>
    <m/>
    <n v="24024"/>
    <n v="25289"/>
    <n v="4034"/>
    <n v="3916"/>
    <n v="25462"/>
    <n v="27352"/>
    <n v="53520"/>
    <n v="1784"/>
    <n v="56557"/>
    <n v="1885.2333333333333"/>
    <n v="272"/>
    <n v="300"/>
    <n v="53520"/>
    <n v="56557"/>
    <m/>
    <m/>
    <m/>
    <m/>
    <m/>
    <m/>
    <m/>
    <m/>
    <n v="0"/>
    <n v="0"/>
    <n v="0"/>
    <n v="0"/>
    <m/>
    <m/>
    <n v="0"/>
    <n v="0"/>
  </r>
  <r>
    <x v="10"/>
    <s v="Southeastern Oklahoma State University "/>
    <s v="Met the criteria for Four-Year 4 in 2010-11 and 2011-12."/>
    <n v="207847"/>
    <x v="4"/>
    <s v="sem"/>
    <s v="sem"/>
    <m/>
    <m/>
    <n v="43335"/>
    <n v="41875"/>
    <n v="9625"/>
    <n v="9763"/>
    <n v="46768"/>
    <n v="46242"/>
    <n v="99728"/>
    <n v="3324.2666666666669"/>
    <n v="97880"/>
    <n v="3262.6666666666665"/>
    <n v="673"/>
    <n v="1492"/>
    <n v="99728"/>
    <n v="97880"/>
    <m/>
    <m/>
    <m/>
    <m/>
    <m/>
    <m/>
    <m/>
    <m/>
    <n v="0"/>
    <n v="0"/>
    <n v="0"/>
    <n v="0"/>
    <m/>
    <m/>
    <n v="0"/>
    <n v="0"/>
  </r>
  <r>
    <x v="10"/>
    <s v="Southwestern Oklahoma State University"/>
    <m/>
    <n v="207865"/>
    <x v="4"/>
    <s v="sem"/>
    <s v="sem"/>
    <m/>
    <m/>
    <n v="54770"/>
    <n v="54953"/>
    <n v="9286"/>
    <n v="9752"/>
    <n v="60246"/>
    <n v="60072"/>
    <n v="124302"/>
    <n v="4143.3999999999996"/>
    <n v="124777"/>
    <n v="4159.2333333333336"/>
    <n v="669"/>
    <n v="1578"/>
    <n v="124302"/>
    <n v="124777"/>
    <m/>
    <m/>
    <m/>
    <m/>
    <m/>
    <m/>
    <m/>
    <m/>
    <n v="0"/>
    <n v="0"/>
    <n v="0"/>
    <n v="0"/>
    <m/>
    <m/>
    <n v="0"/>
    <n v="0"/>
  </r>
  <r>
    <x v="10"/>
    <s v="Oklahoma Panhandle State University "/>
    <m/>
    <n v="207351"/>
    <x v="5"/>
    <s v="sem"/>
    <s v="sem"/>
    <m/>
    <m/>
    <n v="16704"/>
    <n v="16985"/>
    <n v="1945"/>
    <n v="0"/>
    <n v="18763"/>
    <n v="19682"/>
    <n v="37412"/>
    <n v="1247.0666666666666"/>
    <n v="36667"/>
    <n v="1222.2333333333333"/>
    <n v="174"/>
    <n v="531"/>
    <n v="37412"/>
    <n v="36667"/>
    <m/>
    <m/>
    <m/>
    <m/>
    <m/>
    <m/>
    <m/>
    <m/>
    <n v="0"/>
    <n v="0"/>
    <n v="0"/>
    <n v="0"/>
    <m/>
    <m/>
    <n v="0"/>
    <n v="0"/>
  </r>
  <r>
    <x v="10"/>
    <s v="Rogers State University"/>
    <m/>
    <n v="207661"/>
    <x v="5"/>
    <s v="sem"/>
    <s v="sem"/>
    <m/>
    <m/>
    <n v="44724"/>
    <n v="45542"/>
    <n v="7570"/>
    <n v="7889"/>
    <n v="48041"/>
    <n v="51415"/>
    <n v="100335"/>
    <n v="3344.5"/>
    <n v="104846"/>
    <n v="3494.8666666666668"/>
    <n v="1879"/>
    <n v="4439"/>
    <n v="100335"/>
    <n v="104846"/>
    <m/>
    <m/>
    <m/>
    <m/>
    <m/>
    <m/>
    <m/>
    <m/>
    <n v="0"/>
    <n v="0"/>
    <n v="0"/>
    <n v="0"/>
    <m/>
    <m/>
    <n v="0"/>
    <n v="0"/>
  </r>
  <r>
    <x v="10"/>
    <s v="University of Science and Arts of Oklahoma"/>
    <m/>
    <n v="207722"/>
    <x v="5"/>
    <s v="sem"/>
    <s v="sem"/>
    <m/>
    <m/>
    <n v="12817"/>
    <n v="12170"/>
    <n v="4812"/>
    <n v="5124"/>
    <n v="13569"/>
    <n v="13516"/>
    <n v="31198"/>
    <n v="1039.9333333333334"/>
    <n v="30810"/>
    <n v="1027"/>
    <n v="10"/>
    <n v="107"/>
    <n v="31198"/>
    <n v="30810"/>
    <m/>
    <m/>
    <m/>
    <m/>
    <m/>
    <m/>
    <m/>
    <m/>
    <n v="0"/>
    <n v="0"/>
    <n v="0"/>
    <n v="0"/>
    <m/>
    <m/>
    <n v="0"/>
    <n v="0"/>
  </r>
  <r>
    <x v="10"/>
    <s v="Oklahoma State University Technical Branch-Okmulgee "/>
    <m/>
    <n v="207564"/>
    <x v="11"/>
    <s v="sem"/>
    <s v="sem"/>
    <m/>
    <m/>
    <n v="35917"/>
    <n v="33722"/>
    <n v="21976"/>
    <n v="23376"/>
    <n v="38889"/>
    <n v="38717"/>
    <n v="96782"/>
    <n v="3226.0666666666666"/>
    <n v="95815"/>
    <n v="3193.8333333333335"/>
    <n v="1701"/>
    <n v="6242"/>
    <n v="96782"/>
    <n v="95815"/>
    <m/>
    <m/>
    <m/>
    <m/>
    <m/>
    <m/>
    <m/>
    <m/>
    <n v="0"/>
    <n v="0"/>
    <n v="0"/>
    <n v="0"/>
    <m/>
    <m/>
    <n v="0"/>
    <n v="0"/>
  </r>
  <r>
    <x v="10"/>
    <s v="Oklahoma State University-Oklahoma City "/>
    <s v="Reclassified: Met criteria for Two-Year with Bachelor's in 2009-10, 2010-11, and 2011-12."/>
    <n v="207397"/>
    <x v="11"/>
    <s v="sem"/>
    <s v="sem"/>
    <m/>
    <m/>
    <n v="61511"/>
    <n v="72667"/>
    <n v="19731"/>
    <n v="20321"/>
    <n v="78362"/>
    <n v="76269"/>
    <n v="159604"/>
    <n v="5320.1333333333332"/>
    <n v="169257"/>
    <n v="5641.9"/>
    <n v="0"/>
    <n v="1691"/>
    <n v="159604"/>
    <n v="169257"/>
    <m/>
    <m/>
    <m/>
    <m/>
    <m/>
    <m/>
    <m/>
    <m/>
    <n v="0"/>
    <n v="0"/>
    <n v="0"/>
    <n v="0"/>
    <m/>
    <m/>
    <n v="0"/>
    <n v="0"/>
  </r>
  <r>
    <x v="10"/>
    <s v="Oklahoma City Community College "/>
    <m/>
    <n v="207449"/>
    <x v="6"/>
    <s v="sem"/>
    <s v="sem"/>
    <m/>
    <m/>
    <n v="123287"/>
    <n v="125945"/>
    <n v="32970"/>
    <n v="34792"/>
    <n v="134773"/>
    <n v="133275"/>
    <n v="291030"/>
    <n v="9701"/>
    <n v="294012"/>
    <n v="9800.4"/>
    <n v="3326"/>
    <n v="19475"/>
    <n v="291030"/>
    <n v="294012"/>
    <m/>
    <m/>
    <m/>
    <m/>
    <m/>
    <m/>
    <m/>
    <m/>
    <n v="0"/>
    <n v="0"/>
    <n v="0"/>
    <n v="0"/>
    <m/>
    <m/>
    <n v="0"/>
    <n v="0"/>
  </r>
  <r>
    <x v="10"/>
    <s v="Rose State College "/>
    <s v="Reclassified: Met the criteria for Two-Year 1 institution in 2009-10, 2010-11, and 2011-12."/>
    <n v="207670"/>
    <x v="6"/>
    <s v="sem"/>
    <s v="sem"/>
    <m/>
    <m/>
    <n v="69647"/>
    <n v="71497"/>
    <n v="18117"/>
    <n v="18714"/>
    <n v="79823"/>
    <n v="71795"/>
    <n v="167587"/>
    <n v="5586.2333333333336"/>
    <n v="162006"/>
    <n v="5400.2"/>
    <n v="2246"/>
    <n v="3652"/>
    <n v="167587"/>
    <n v="162006"/>
    <m/>
    <m/>
    <m/>
    <m/>
    <m/>
    <m/>
    <m/>
    <m/>
    <n v="0"/>
    <n v="0"/>
    <n v="0"/>
    <n v="0"/>
    <m/>
    <m/>
    <n v="0"/>
    <n v="0"/>
  </r>
  <r>
    <x v="10"/>
    <s v="Tulsa Community College "/>
    <m/>
    <n v="207935"/>
    <x v="6"/>
    <s v="sem"/>
    <s v="sem"/>
    <m/>
    <m/>
    <n v="172249"/>
    <n v="168178"/>
    <n v="51460"/>
    <n v="49710"/>
    <n v="183730"/>
    <n v="179122"/>
    <n v="407439"/>
    <n v="13581.3"/>
    <n v="397010"/>
    <n v="13233.666666666666"/>
    <n v="4817"/>
    <n v="13897"/>
    <n v="407439"/>
    <n v="397010"/>
    <m/>
    <m/>
    <m/>
    <m/>
    <m/>
    <m/>
    <m/>
    <m/>
    <n v="0"/>
    <n v="0"/>
    <n v="0"/>
    <n v="0"/>
    <m/>
    <m/>
    <n v="0"/>
    <n v="0"/>
  </r>
  <r>
    <x v="10"/>
    <s v="Northern Oklahoma College "/>
    <m/>
    <n v="207281"/>
    <x v="7"/>
    <s v="sem"/>
    <s v="sem"/>
    <m/>
    <m/>
    <n v="49803"/>
    <n v="51117"/>
    <n v="8095"/>
    <n v="15509"/>
    <n v="54606"/>
    <n v="53704"/>
    <n v="112504"/>
    <n v="3750.1333333333332"/>
    <n v="120330"/>
    <n v="4011"/>
    <n v="3103"/>
    <n v="6788"/>
    <n v="112504"/>
    <n v="120330"/>
    <m/>
    <m/>
    <m/>
    <m/>
    <m/>
    <m/>
    <m/>
    <m/>
    <n v="0"/>
    <n v="0"/>
    <n v="0"/>
    <n v="0"/>
    <m/>
    <m/>
    <n v="0"/>
    <n v="0"/>
  </r>
  <r>
    <x v="10"/>
    <s v="Carl Albert State College"/>
    <s v="Met the criteria for Two-Year 2 institution in 2010-11 and 2011-12."/>
    <n v="206923"/>
    <x v="8"/>
    <s v="sem"/>
    <s v="sem"/>
    <m/>
    <m/>
    <n v="28212"/>
    <n v="28041"/>
    <n v="6312"/>
    <n v="5656"/>
    <n v="30883"/>
    <n v="29644"/>
    <n v="65407"/>
    <n v="2180.2333333333331"/>
    <n v="63341"/>
    <n v="2111.3666666666668"/>
    <n v="916"/>
    <n v="2257"/>
    <n v="65407"/>
    <n v="63341"/>
    <m/>
    <m/>
    <m/>
    <m/>
    <m/>
    <m/>
    <m/>
    <m/>
    <n v="0"/>
    <n v="0"/>
    <n v="0"/>
    <n v="0"/>
    <m/>
    <m/>
    <n v="0"/>
    <n v="0"/>
  </r>
  <r>
    <x v="10"/>
    <s v="Connors State College "/>
    <m/>
    <n v="206996"/>
    <x v="8"/>
    <s v="sem"/>
    <s v="sem"/>
    <m/>
    <m/>
    <n v="23601"/>
    <n v="25793"/>
    <n v="5171"/>
    <n v="5076"/>
    <n v="28752"/>
    <n v="26261"/>
    <n v="57524"/>
    <n v="1917.4666666666667"/>
    <n v="57130"/>
    <n v="1904.3333333333333"/>
    <n v="802"/>
    <n v="1770"/>
    <n v="57524"/>
    <n v="57130"/>
    <m/>
    <m/>
    <m/>
    <m/>
    <m/>
    <m/>
    <m/>
    <m/>
    <n v="0"/>
    <n v="0"/>
    <n v="0"/>
    <n v="0"/>
    <m/>
    <m/>
    <n v="0"/>
    <n v="0"/>
  </r>
  <r>
    <x v="10"/>
    <s v="Eastern Oklahoma State College "/>
    <m/>
    <n v="207050"/>
    <x v="8"/>
    <s v="sem"/>
    <s v="sem"/>
    <m/>
    <m/>
    <n v="20234"/>
    <n v="20733"/>
    <n v="3751"/>
    <n v="4060"/>
    <n v="22282"/>
    <n v="20564"/>
    <n v="46267"/>
    <n v="1542.2333333333333"/>
    <n v="45357"/>
    <n v="1511.9"/>
    <n v="1188"/>
    <n v="2828"/>
    <n v="46267"/>
    <n v="45357"/>
    <m/>
    <m/>
    <m/>
    <m/>
    <m/>
    <m/>
    <m/>
    <m/>
    <n v="0"/>
    <n v="0"/>
    <n v="0"/>
    <n v="0"/>
    <m/>
    <m/>
    <n v="0"/>
    <n v="0"/>
  </r>
  <r>
    <x v="10"/>
    <s v="Murray State College "/>
    <m/>
    <n v="207236"/>
    <x v="8"/>
    <s v="sem"/>
    <s v="sem"/>
    <m/>
    <m/>
    <n v="26861"/>
    <n v="27511"/>
    <n v="5346"/>
    <n v="5120"/>
    <n v="28553"/>
    <n v="26573"/>
    <n v="60760"/>
    <n v="2025.3333333333333"/>
    <n v="59204"/>
    <n v="1973.4666666666667"/>
    <n v="2048"/>
    <n v="4433"/>
    <n v="60760"/>
    <n v="59204"/>
    <m/>
    <m/>
    <m/>
    <m/>
    <m/>
    <m/>
    <m/>
    <m/>
    <n v="0"/>
    <n v="0"/>
    <n v="0"/>
    <n v="0"/>
    <m/>
    <m/>
    <n v="0"/>
    <n v="0"/>
  </r>
  <r>
    <x v="10"/>
    <s v="Northeastern Oklahoma A &amp; M College "/>
    <s v="Met the criteria for Two-Year 2 institution in 2010-11 and 2011-12."/>
    <n v="207290"/>
    <x v="8"/>
    <s v="sem"/>
    <s v="sem"/>
    <m/>
    <m/>
    <n v="24627"/>
    <n v="26454"/>
    <n v="4658"/>
    <n v="5227"/>
    <n v="29585"/>
    <n v="31953"/>
    <n v="58870"/>
    <n v="1962.3333333333333"/>
    <n v="63634"/>
    <n v="2121.1333333333332"/>
    <n v="797"/>
    <n v="2297"/>
    <n v="58870"/>
    <n v="63634"/>
    <m/>
    <m/>
    <m/>
    <m/>
    <m/>
    <m/>
    <m/>
    <m/>
    <n v="0"/>
    <n v="0"/>
    <n v="0"/>
    <n v="0"/>
    <m/>
    <m/>
    <n v="0"/>
    <n v="0"/>
  </r>
  <r>
    <x v="10"/>
    <s v="Redlands Community College"/>
    <m/>
    <n v="207069"/>
    <x v="8"/>
    <s v="sem"/>
    <s v="sem"/>
    <m/>
    <m/>
    <n v="21976"/>
    <n v="22228"/>
    <n v="4499"/>
    <n v="4325"/>
    <n v="23118"/>
    <n v="22478"/>
    <n v="49593"/>
    <n v="1653.1"/>
    <n v="49031"/>
    <n v="1634.3666666666666"/>
    <n v="3081"/>
    <n v="7023"/>
    <n v="49593"/>
    <n v="49031"/>
    <m/>
    <m/>
    <m/>
    <m/>
    <m/>
    <m/>
    <m/>
    <m/>
    <n v="0"/>
    <n v="0"/>
    <n v="0"/>
    <n v="0"/>
    <m/>
    <m/>
    <n v="0"/>
    <n v="0"/>
  </r>
  <r>
    <x v="10"/>
    <s v="Seminole State College "/>
    <m/>
    <n v="207740"/>
    <x v="8"/>
    <s v="sem"/>
    <s v="sem"/>
    <m/>
    <m/>
    <n v="22123"/>
    <n v="22183"/>
    <n v="3899"/>
    <n v="3947"/>
    <n v="22710"/>
    <n v="23763"/>
    <n v="48732"/>
    <n v="1624.4"/>
    <n v="49893"/>
    <n v="1663.1"/>
    <n v="1115"/>
    <n v="2934"/>
    <n v="48732"/>
    <n v="49893"/>
    <m/>
    <m/>
    <m/>
    <m/>
    <m/>
    <m/>
    <m/>
    <m/>
    <n v="0"/>
    <n v="0"/>
    <n v="0"/>
    <n v="0"/>
    <m/>
    <m/>
    <n v="0"/>
    <n v="0"/>
  </r>
  <r>
    <x v="10"/>
    <s v="Western Oklahoma State College "/>
    <s v="Met the criteria for Two-Year 2 institution in 2011-12."/>
    <n v="208035"/>
    <x v="8"/>
    <s v="sem"/>
    <s v="sem"/>
    <m/>
    <m/>
    <n v="19627"/>
    <n v="21802"/>
    <n v="8711"/>
    <n v="10560"/>
    <n v="30249"/>
    <n v="30686"/>
    <n v="58587"/>
    <n v="1952.9"/>
    <n v="63048"/>
    <n v="2101.6"/>
    <n v="1691"/>
    <n v="4374"/>
    <n v="58587"/>
    <n v="63048"/>
    <m/>
    <m/>
    <m/>
    <m/>
    <m/>
    <m/>
    <m/>
    <m/>
    <n v="0"/>
    <n v="0"/>
    <n v="0"/>
    <n v="0"/>
    <m/>
    <m/>
    <n v="0"/>
    <n v="0"/>
  </r>
  <r>
    <x v="10"/>
    <s v="Canadian Valley Technology Center                 "/>
    <m/>
    <n v="365374"/>
    <x v="9"/>
    <m/>
    <m/>
    <m/>
    <m/>
    <m/>
    <m/>
    <m/>
    <m/>
    <m/>
    <m/>
    <n v="0"/>
    <n v="0"/>
    <n v="0"/>
    <n v="0"/>
    <m/>
    <m/>
    <n v="0"/>
    <n v="0"/>
    <m/>
    <m/>
    <m/>
    <m/>
    <m/>
    <m/>
    <n v="1151539.8999999999"/>
    <n v="1157859.46"/>
    <n v="1151539.8999999999"/>
    <n v="1279.4887777777776"/>
    <n v="1157859.46"/>
    <n v="1286.5105111111111"/>
    <m/>
    <m/>
    <n v="0"/>
    <n v="0"/>
  </r>
  <r>
    <x v="10"/>
    <s v="Francis Tuttle Technology Center                  "/>
    <m/>
    <n v="245999"/>
    <x v="9"/>
    <m/>
    <m/>
    <m/>
    <m/>
    <m/>
    <m/>
    <m/>
    <m/>
    <m/>
    <m/>
    <n v="0"/>
    <n v="0"/>
    <n v="0"/>
    <n v="0"/>
    <m/>
    <m/>
    <n v="0"/>
    <n v="0"/>
    <m/>
    <m/>
    <m/>
    <m/>
    <m/>
    <m/>
    <n v="1899880.13"/>
    <n v="1509993.25"/>
    <n v="1899880.13"/>
    <n v="2110.9779222222219"/>
    <n v="1509993.25"/>
    <n v="1677.7702777777777"/>
    <m/>
    <m/>
    <n v="0"/>
    <n v="0"/>
  </r>
  <r>
    <x v="10"/>
    <s v="Metro Technology Centers                          "/>
    <m/>
    <n v="363165"/>
    <x v="9"/>
    <m/>
    <m/>
    <m/>
    <m/>
    <m/>
    <m/>
    <m/>
    <m/>
    <m/>
    <m/>
    <n v="0"/>
    <n v="0"/>
    <n v="0"/>
    <n v="0"/>
    <m/>
    <m/>
    <n v="0"/>
    <n v="0"/>
    <m/>
    <m/>
    <m/>
    <m/>
    <m/>
    <m/>
    <n v="1199650.75"/>
    <n v="1206431.8999999999"/>
    <n v="1199650.75"/>
    <n v="1332.9452777777778"/>
    <n v="1206431.8999999999"/>
    <n v="1340.4798888888888"/>
    <m/>
    <m/>
    <n v="0"/>
    <n v="0"/>
  </r>
  <r>
    <x v="10"/>
    <s v="Autry Technology Center                           "/>
    <m/>
    <n v="365213"/>
    <x v="10"/>
    <m/>
    <m/>
    <m/>
    <m/>
    <m/>
    <m/>
    <m/>
    <m/>
    <m/>
    <m/>
    <n v="0"/>
    <n v="0"/>
    <n v="0"/>
    <n v="0"/>
    <m/>
    <m/>
    <n v="0"/>
    <n v="0"/>
    <m/>
    <m/>
    <m/>
    <m/>
    <m/>
    <m/>
    <n v="524393.80000000005"/>
    <n v="499956.15"/>
    <n v="524393.80000000005"/>
    <n v="582.65977777777778"/>
    <n v="499956.15"/>
    <n v="555.50683333333336"/>
    <m/>
    <m/>
    <n v="0"/>
    <n v="0"/>
  </r>
  <r>
    <x v="10"/>
    <s v="Caddo Kiowa Technology Center                     "/>
    <m/>
    <n v="364946"/>
    <x v="10"/>
    <m/>
    <m/>
    <m/>
    <m/>
    <m/>
    <m/>
    <m/>
    <m/>
    <m/>
    <m/>
    <n v="0"/>
    <n v="0"/>
    <n v="0"/>
    <n v="0"/>
    <m/>
    <m/>
    <n v="0"/>
    <n v="0"/>
    <m/>
    <m/>
    <m/>
    <m/>
    <m/>
    <m/>
    <n v="441123.34"/>
    <n v="357117"/>
    <n v="441123.34"/>
    <n v="490.13704444444448"/>
    <n v="357117"/>
    <n v="396.79666666666668"/>
    <m/>
    <m/>
    <n v="0"/>
    <n v="0"/>
  </r>
  <r>
    <x v="10"/>
    <s v="Central Technology Center                         "/>
    <m/>
    <n v="246017"/>
    <x v="10"/>
    <m/>
    <m/>
    <m/>
    <m/>
    <m/>
    <m/>
    <m/>
    <m/>
    <m/>
    <m/>
    <n v="0"/>
    <n v="0"/>
    <n v="0"/>
    <n v="0"/>
    <m/>
    <m/>
    <n v="0"/>
    <n v="0"/>
    <m/>
    <m/>
    <m/>
    <m/>
    <m/>
    <m/>
    <n v="787308.8"/>
    <n v="778883.75"/>
    <n v="787308.8"/>
    <n v="874.78755555555563"/>
    <n v="778883.75"/>
    <n v="865.42638888888894"/>
    <m/>
    <m/>
    <n v="0"/>
    <n v="0"/>
  </r>
  <r>
    <x v="10"/>
    <s v="Chisholm Trail Technology Center                  "/>
    <m/>
    <n v="375656"/>
    <x v="10"/>
    <m/>
    <m/>
    <m/>
    <m/>
    <m/>
    <m/>
    <m/>
    <m/>
    <m/>
    <m/>
    <n v="0"/>
    <n v="0"/>
    <n v="0"/>
    <n v="0"/>
    <m/>
    <m/>
    <n v="0"/>
    <n v="0"/>
    <m/>
    <m/>
    <m/>
    <m/>
    <m/>
    <m/>
    <n v="122942.25"/>
    <n v="111580"/>
    <n v="122942.25"/>
    <n v="136.60249999999999"/>
    <n v="111580"/>
    <n v="123.97777777777777"/>
    <m/>
    <m/>
    <n v="0"/>
    <n v="0"/>
  </r>
  <r>
    <x v="10"/>
    <s v="Eastern Oklahoma County Technology Center         "/>
    <m/>
    <n v="418348"/>
    <x v="10"/>
    <m/>
    <m/>
    <m/>
    <m/>
    <m/>
    <m/>
    <m/>
    <m/>
    <m/>
    <m/>
    <n v="0"/>
    <n v="0"/>
    <n v="0"/>
    <n v="0"/>
    <m/>
    <m/>
    <n v="0"/>
    <n v="0"/>
    <m/>
    <m/>
    <m/>
    <m/>
    <m/>
    <m/>
    <n v="376301.5"/>
    <n v="331567"/>
    <n v="376301.5"/>
    <n v="418.11277777777775"/>
    <n v="331567"/>
    <n v="368.40777777777777"/>
    <m/>
    <m/>
    <n v="0"/>
    <n v="0"/>
  </r>
  <r>
    <x v="10"/>
    <s v="Gordon Cooper Technology Center                   "/>
    <m/>
    <n v="375683"/>
    <x v="10"/>
    <m/>
    <m/>
    <m/>
    <m/>
    <m/>
    <m/>
    <m/>
    <m/>
    <m/>
    <m/>
    <n v="0"/>
    <n v="0"/>
    <n v="0"/>
    <n v="0"/>
    <m/>
    <m/>
    <n v="0"/>
    <n v="0"/>
    <m/>
    <m/>
    <m/>
    <m/>
    <m/>
    <m/>
    <n v="652627"/>
    <n v="670476.5"/>
    <n v="652627"/>
    <n v="725.14111111111106"/>
    <n v="670476.5"/>
    <n v="744.97388888888884"/>
    <m/>
    <m/>
    <n v="0"/>
    <n v="0"/>
  </r>
  <r>
    <x v="10"/>
    <s v="Great Plains Technology Center                    "/>
    <s v="Reclassified: met criteria for Technical Institute or College 2 in 2009-10, 2010-11 and 2011-12."/>
    <n v="364548"/>
    <x v="10"/>
    <m/>
    <m/>
    <m/>
    <m/>
    <m/>
    <m/>
    <m/>
    <m/>
    <m/>
    <m/>
    <n v="0"/>
    <n v="0"/>
    <n v="0"/>
    <n v="0"/>
    <m/>
    <m/>
    <n v="0"/>
    <n v="0"/>
    <m/>
    <m/>
    <m/>
    <m/>
    <m/>
    <m/>
    <n v="833901.81"/>
    <n v="876995.5"/>
    <n v="833901.81"/>
    <n v="926.55756666666673"/>
    <n v="876995.5"/>
    <n v="974.43944444444446"/>
    <m/>
    <m/>
    <n v="0"/>
    <n v="0"/>
  </r>
  <r>
    <x v="10"/>
    <s v="Green Country Technology Center                   "/>
    <m/>
    <n v="428019"/>
    <x v="10"/>
    <m/>
    <m/>
    <m/>
    <m/>
    <m/>
    <m/>
    <m/>
    <m/>
    <m/>
    <m/>
    <n v="0"/>
    <n v="0"/>
    <n v="0"/>
    <n v="0"/>
    <m/>
    <m/>
    <n v="0"/>
    <n v="0"/>
    <m/>
    <m/>
    <m/>
    <m/>
    <m/>
    <m/>
    <n v="242862.5"/>
    <n v="248913"/>
    <n v="242862.5"/>
    <n v="269.84722222222223"/>
    <n v="248913"/>
    <n v="276.57"/>
    <m/>
    <m/>
    <n v="0"/>
    <n v="0"/>
  </r>
  <r>
    <x v="10"/>
    <s v="High Plains Technology Center                     "/>
    <m/>
    <n v="208053"/>
    <x v="10"/>
    <m/>
    <m/>
    <m/>
    <m/>
    <m/>
    <m/>
    <m/>
    <m/>
    <m/>
    <m/>
    <n v="0"/>
    <n v="0"/>
    <n v="0"/>
    <n v="0"/>
    <m/>
    <m/>
    <n v="0"/>
    <n v="0"/>
    <m/>
    <m/>
    <m/>
    <m/>
    <m/>
    <m/>
    <n v="229405.5"/>
    <n v="215438.75"/>
    <n v="229405.5"/>
    <n v="254.89500000000001"/>
    <n v="215438.75"/>
    <n v="239.3763888888889"/>
    <m/>
    <m/>
    <n v="0"/>
    <n v="0"/>
  </r>
  <r>
    <x v="10"/>
    <s v="Indian Capital Technology Center-Muskogee         "/>
    <m/>
    <n v="418296"/>
    <x v="10"/>
    <m/>
    <m/>
    <m/>
    <m/>
    <m/>
    <m/>
    <m/>
    <m/>
    <m/>
    <m/>
    <n v="0"/>
    <n v="0"/>
    <n v="0"/>
    <n v="0"/>
    <m/>
    <m/>
    <n v="0"/>
    <n v="0"/>
    <m/>
    <m/>
    <m/>
    <m/>
    <m/>
    <m/>
    <n v="498706.5"/>
    <n v="490481.07"/>
    <n v="498706.5"/>
    <n v="554.11833333333334"/>
    <n v="490481.07"/>
    <n v="544.97896666666668"/>
    <m/>
    <m/>
    <n v="0"/>
    <n v="0"/>
  </r>
  <r>
    <x v="10"/>
    <s v="Indian Capital Technology Center-Sallisaw         "/>
    <m/>
    <n v="421540"/>
    <x v="10"/>
    <m/>
    <m/>
    <m/>
    <m/>
    <m/>
    <m/>
    <m/>
    <m/>
    <m/>
    <m/>
    <n v="0"/>
    <n v="0"/>
    <n v="0"/>
    <n v="0"/>
    <m/>
    <m/>
    <n v="0"/>
    <n v="0"/>
    <m/>
    <m/>
    <m/>
    <m/>
    <m/>
    <m/>
    <n v="167950"/>
    <n v="172153"/>
    <n v="167950"/>
    <n v="186.61111111111111"/>
    <n v="172153"/>
    <n v="191.2811111111111"/>
    <m/>
    <m/>
    <n v="0"/>
    <n v="0"/>
  </r>
  <r>
    <x v="10"/>
    <s v="Indian Capital Technology Center-Stilwell         "/>
    <m/>
    <n v="421559"/>
    <x v="10"/>
    <m/>
    <m/>
    <m/>
    <m/>
    <m/>
    <m/>
    <m/>
    <m/>
    <m/>
    <m/>
    <n v="0"/>
    <n v="0"/>
    <n v="0"/>
    <n v="0"/>
    <m/>
    <m/>
    <n v="0"/>
    <n v="0"/>
    <m/>
    <m/>
    <m/>
    <m/>
    <m/>
    <m/>
    <n v="114297"/>
    <n v="103565"/>
    <n v="114297"/>
    <n v="126.99666666666667"/>
    <n v="103565"/>
    <n v="115.07222222222222"/>
    <m/>
    <m/>
    <n v="0"/>
    <n v="0"/>
  </r>
  <r>
    <x v="10"/>
    <s v="Indian Capital Technology Center-Tahlequah        "/>
    <m/>
    <n v="208026"/>
    <x v="10"/>
    <m/>
    <m/>
    <m/>
    <m/>
    <m/>
    <m/>
    <m/>
    <m/>
    <m/>
    <m/>
    <n v="0"/>
    <n v="0"/>
    <n v="0"/>
    <n v="0"/>
    <m/>
    <m/>
    <n v="0"/>
    <n v="0"/>
    <m/>
    <m/>
    <m/>
    <m/>
    <m/>
    <m/>
    <n v="214010.35"/>
    <n v="209746"/>
    <n v="214010.35"/>
    <n v="237.78927777777778"/>
    <n v="209746"/>
    <n v="233.05111111111111"/>
    <m/>
    <m/>
    <n v="0"/>
    <n v="0"/>
  </r>
  <r>
    <x v="10"/>
    <s v="Kiamichi Technology Center-Atoka                  "/>
    <m/>
    <n v="375692"/>
    <x v="10"/>
    <m/>
    <m/>
    <m/>
    <m/>
    <m/>
    <m/>
    <m/>
    <m/>
    <m/>
    <m/>
    <n v="0"/>
    <n v="0"/>
    <n v="0"/>
    <n v="0"/>
    <m/>
    <m/>
    <n v="0"/>
    <n v="0"/>
    <m/>
    <m/>
    <m/>
    <m/>
    <m/>
    <m/>
    <n v="123431"/>
    <n v="109267.5"/>
    <n v="123431"/>
    <n v="137.14555555555555"/>
    <n v="109267.5"/>
    <n v="121.40833333333333"/>
    <m/>
    <m/>
    <n v="0"/>
    <n v="0"/>
  </r>
  <r>
    <x v="10"/>
    <s v="Kiamichi Technology Center-Durant                 "/>
    <m/>
    <n v="375708"/>
    <x v="10"/>
    <m/>
    <m/>
    <m/>
    <m/>
    <m/>
    <m/>
    <m/>
    <m/>
    <m/>
    <m/>
    <n v="0"/>
    <n v="0"/>
    <n v="0"/>
    <n v="0"/>
    <m/>
    <m/>
    <n v="0"/>
    <n v="0"/>
    <m/>
    <m/>
    <m/>
    <m/>
    <m/>
    <m/>
    <n v="240929.5"/>
    <n v="203568"/>
    <n v="240929.5"/>
    <n v="267.69944444444445"/>
    <n v="203568"/>
    <n v="226.18666666666667"/>
    <m/>
    <m/>
    <n v="0"/>
    <n v="0"/>
  </r>
  <r>
    <x v="10"/>
    <s v="Kiamichi Technology Center-Hugo                   "/>
    <m/>
    <n v="375717"/>
    <x v="10"/>
    <m/>
    <m/>
    <m/>
    <m/>
    <m/>
    <m/>
    <m/>
    <m/>
    <m/>
    <m/>
    <n v="0"/>
    <n v="0"/>
    <n v="0"/>
    <n v="0"/>
    <m/>
    <m/>
    <n v="0"/>
    <n v="0"/>
    <m/>
    <m/>
    <m/>
    <m/>
    <m/>
    <m/>
    <n v="136521.5"/>
    <n v="147098"/>
    <n v="136521.5"/>
    <n v="151.69055555555556"/>
    <n v="147098"/>
    <n v="163.44222222222223"/>
    <m/>
    <m/>
    <n v="0"/>
    <n v="0"/>
  </r>
  <r>
    <x v="10"/>
    <s v="Kiamichi Technology Center-Idabel                 "/>
    <m/>
    <n v="375735"/>
    <x v="10"/>
    <m/>
    <m/>
    <m/>
    <m/>
    <m/>
    <m/>
    <m/>
    <m/>
    <m/>
    <m/>
    <n v="0"/>
    <n v="0"/>
    <n v="0"/>
    <n v="0"/>
    <m/>
    <m/>
    <n v="0"/>
    <n v="0"/>
    <m/>
    <m/>
    <m/>
    <m/>
    <m/>
    <m/>
    <n v="331053.5"/>
    <n v="180915"/>
    <n v="331053.5"/>
    <n v="367.83722222222224"/>
    <n v="180915"/>
    <n v="201.01666666666668"/>
    <m/>
    <m/>
    <n v="0"/>
    <n v="0"/>
  </r>
  <r>
    <x v="10"/>
    <s v="Kiamichi Technology Center-McAlester              "/>
    <m/>
    <n v="375726"/>
    <x v="10"/>
    <m/>
    <m/>
    <m/>
    <m/>
    <m/>
    <m/>
    <m/>
    <m/>
    <m/>
    <m/>
    <n v="0"/>
    <n v="0"/>
    <n v="0"/>
    <n v="0"/>
    <m/>
    <m/>
    <n v="0"/>
    <n v="0"/>
    <m/>
    <m/>
    <m/>
    <m/>
    <m/>
    <m/>
    <n v="319569.5"/>
    <n v="321603.5"/>
    <n v="319569.5"/>
    <n v="355.07722222222225"/>
    <n v="321603.5"/>
    <n v="357.33722222222224"/>
    <m/>
    <m/>
    <n v="0"/>
    <n v="0"/>
  </r>
  <r>
    <x v="10"/>
    <s v="Kiamichi Technology Center-Poteau                 "/>
    <m/>
    <n v="375744"/>
    <x v="10"/>
    <m/>
    <m/>
    <m/>
    <m/>
    <m/>
    <m/>
    <m/>
    <m/>
    <m/>
    <m/>
    <n v="0"/>
    <n v="0"/>
    <n v="0"/>
    <n v="0"/>
    <m/>
    <m/>
    <n v="0"/>
    <n v="0"/>
    <m/>
    <m/>
    <m/>
    <m/>
    <m/>
    <m/>
    <n v="286299.75"/>
    <n v="266179.5"/>
    <n v="286299.75"/>
    <n v="318.11083333333335"/>
    <n v="266179.5"/>
    <n v="295.755"/>
    <m/>
    <m/>
    <n v="0"/>
    <n v="0"/>
  </r>
  <r>
    <x v="10"/>
    <s v="Kiamichi Technology Center-Spiro                  "/>
    <m/>
    <n v="375753"/>
    <x v="10"/>
    <m/>
    <m/>
    <m/>
    <m/>
    <m/>
    <m/>
    <m/>
    <m/>
    <m/>
    <m/>
    <n v="0"/>
    <n v="0"/>
    <n v="0"/>
    <n v="0"/>
    <m/>
    <m/>
    <n v="0"/>
    <n v="0"/>
    <m/>
    <m/>
    <m/>
    <m/>
    <m/>
    <m/>
    <n v="31465"/>
    <n v="24676"/>
    <n v="31465"/>
    <n v="34.961111111111109"/>
    <n v="24676"/>
    <n v="27.417777777777779"/>
    <m/>
    <m/>
    <n v="0"/>
    <n v="0"/>
  </r>
  <r>
    <x v="10"/>
    <s v="Kiamichi Technology Center-Stigler                "/>
    <m/>
    <n v="405748"/>
    <x v="10"/>
    <m/>
    <m/>
    <m/>
    <m/>
    <m/>
    <m/>
    <m/>
    <m/>
    <m/>
    <m/>
    <n v="0"/>
    <n v="0"/>
    <n v="0"/>
    <n v="0"/>
    <m/>
    <m/>
    <n v="0"/>
    <n v="0"/>
    <m/>
    <m/>
    <m/>
    <m/>
    <m/>
    <m/>
    <n v="85055"/>
    <n v="86214"/>
    <n v="85055"/>
    <n v="94.50555555555556"/>
    <n v="86214"/>
    <n v="95.793333333333337"/>
    <m/>
    <m/>
    <n v="0"/>
    <n v="0"/>
  </r>
  <r>
    <x v="10"/>
    <s v="Kiamichi Technology Center-Talihina               "/>
    <m/>
    <n v="375762"/>
    <x v="10"/>
    <m/>
    <m/>
    <m/>
    <m/>
    <m/>
    <m/>
    <m/>
    <m/>
    <m/>
    <m/>
    <n v="0"/>
    <n v="0"/>
    <n v="0"/>
    <n v="0"/>
    <m/>
    <m/>
    <n v="0"/>
    <n v="0"/>
    <m/>
    <m/>
    <m/>
    <m/>
    <m/>
    <m/>
    <n v="70651.3"/>
    <n v="70761"/>
    <n v="70651.3"/>
    <n v="78.501444444444445"/>
    <n v="70761"/>
    <n v="78.623333333333335"/>
    <m/>
    <m/>
    <n v="0"/>
    <n v="0"/>
  </r>
  <r>
    <x v="10"/>
    <s v="Meridian Technology Center                        "/>
    <m/>
    <n v="365480"/>
    <x v="10"/>
    <m/>
    <m/>
    <m/>
    <m/>
    <m/>
    <m/>
    <m/>
    <m/>
    <m/>
    <m/>
    <n v="0"/>
    <n v="0"/>
    <n v="0"/>
    <n v="0"/>
    <m/>
    <m/>
    <n v="0"/>
    <n v="0"/>
    <m/>
    <m/>
    <m/>
    <m/>
    <m/>
    <m/>
    <n v="485372.75"/>
    <n v="450981"/>
    <n v="485372.75"/>
    <n v="539.3030555555556"/>
    <n v="450981"/>
    <n v="501.09"/>
    <m/>
    <m/>
    <n v="0"/>
    <n v="0"/>
  </r>
  <r>
    <x v="10"/>
    <s v="Mid-America Technology Center                     "/>
    <m/>
    <n v="418320"/>
    <x v="10"/>
    <m/>
    <m/>
    <m/>
    <m/>
    <m/>
    <m/>
    <m/>
    <m/>
    <m/>
    <m/>
    <n v="0"/>
    <n v="0"/>
    <n v="0"/>
    <n v="0"/>
    <m/>
    <m/>
    <n v="0"/>
    <n v="0"/>
    <m/>
    <m/>
    <m/>
    <m/>
    <m/>
    <m/>
    <n v="551805"/>
    <n v="549738.5"/>
    <n v="551805"/>
    <n v="613.11666666666667"/>
    <n v="549738.5"/>
    <n v="610.82055555555553"/>
    <m/>
    <m/>
    <n v="0"/>
    <n v="0"/>
  </r>
  <r>
    <x v="10"/>
    <s v="Mid-Del Technology Center                         "/>
    <m/>
    <n v="431017"/>
    <x v="10"/>
    <m/>
    <m/>
    <m/>
    <m/>
    <m/>
    <m/>
    <m/>
    <m/>
    <m/>
    <m/>
    <n v="0"/>
    <n v="0"/>
    <n v="0"/>
    <n v="0"/>
    <m/>
    <m/>
    <n v="0"/>
    <n v="0"/>
    <m/>
    <m/>
    <m/>
    <m/>
    <m/>
    <m/>
    <n v="489553.5"/>
    <n v="484171"/>
    <n v="489553.5"/>
    <n v="543.94833333333338"/>
    <n v="484171"/>
    <n v="537.96777777777777"/>
    <m/>
    <m/>
    <n v="0"/>
    <n v="0"/>
  </r>
  <r>
    <x v="10"/>
    <s v="Moore Norman Technology Center                    "/>
    <m/>
    <n v="248606"/>
    <x v="10"/>
    <m/>
    <m/>
    <m/>
    <m/>
    <m/>
    <m/>
    <m/>
    <m/>
    <m/>
    <m/>
    <n v="0"/>
    <n v="0"/>
    <n v="0"/>
    <n v="0"/>
    <m/>
    <m/>
    <n v="0"/>
    <n v="0"/>
    <m/>
    <m/>
    <m/>
    <m/>
    <m/>
    <m/>
    <n v="898923.95"/>
    <n v="950240.01"/>
    <n v="898923.95"/>
    <n v="998.80438888888887"/>
    <n v="950240.01"/>
    <n v="1055.8222333333333"/>
    <m/>
    <m/>
    <n v="0"/>
    <n v="0"/>
  </r>
  <r>
    <x v="10"/>
    <s v="Northeast Technology Center-Afton                 "/>
    <m/>
    <n v="420459"/>
    <x v="10"/>
    <m/>
    <m/>
    <m/>
    <m/>
    <m/>
    <m/>
    <m/>
    <m/>
    <m/>
    <m/>
    <n v="0"/>
    <n v="0"/>
    <n v="0"/>
    <n v="0"/>
    <m/>
    <m/>
    <n v="0"/>
    <n v="0"/>
    <m/>
    <m/>
    <m/>
    <m/>
    <m/>
    <m/>
    <n v="332171.5"/>
    <n v="295356.5"/>
    <n v="332171.5"/>
    <n v="369.07944444444445"/>
    <n v="295356.5"/>
    <n v="328.17388888888888"/>
    <m/>
    <m/>
    <n v="0"/>
    <n v="0"/>
  </r>
  <r>
    <x v="10"/>
    <s v="Northeast Technology Center-Claremore"/>
    <s v="New institution no longer in start up phase. "/>
    <s v="456560"/>
    <x v="10"/>
    <m/>
    <m/>
    <m/>
    <m/>
    <m/>
    <m/>
    <m/>
    <m/>
    <m/>
    <m/>
    <n v="0"/>
    <n v="0"/>
    <n v="0"/>
    <n v="0"/>
    <m/>
    <m/>
    <n v="0"/>
    <n v="0"/>
    <m/>
    <m/>
    <m/>
    <m/>
    <m/>
    <m/>
    <n v="89669"/>
    <n v="97753"/>
    <n v="89669"/>
    <n v="99.632222222222225"/>
    <n v="97753"/>
    <n v="108.61444444444444"/>
    <m/>
    <m/>
    <n v="0"/>
    <n v="0"/>
  </r>
  <r>
    <x v="10"/>
    <s v="Northeast Technology Center-Kansas                "/>
    <m/>
    <n v="432074"/>
    <x v="10"/>
    <m/>
    <m/>
    <m/>
    <m/>
    <m/>
    <m/>
    <m/>
    <m/>
    <m/>
    <m/>
    <n v="0"/>
    <n v="0"/>
    <n v="0"/>
    <n v="0"/>
    <m/>
    <m/>
    <n v="0"/>
    <n v="0"/>
    <m/>
    <m/>
    <m/>
    <m/>
    <m/>
    <m/>
    <n v="185825.9"/>
    <n v="161927"/>
    <n v="185825.9"/>
    <n v="206.4732222222222"/>
    <n v="161927"/>
    <n v="179.91888888888889"/>
    <m/>
    <m/>
    <n v="0"/>
    <n v="0"/>
  </r>
  <r>
    <x v="10"/>
    <s v="Northeast Technology Center-Pryor                 "/>
    <m/>
    <n v="418339"/>
    <x v="10"/>
    <m/>
    <m/>
    <m/>
    <m/>
    <m/>
    <m/>
    <m/>
    <m/>
    <m/>
    <m/>
    <n v="0"/>
    <n v="0"/>
    <n v="0"/>
    <n v="0"/>
    <m/>
    <m/>
    <n v="0"/>
    <n v="0"/>
    <m/>
    <m/>
    <m/>
    <m/>
    <m/>
    <m/>
    <n v="341716.49"/>
    <n v="277570"/>
    <n v="341716.49"/>
    <n v="379.68498888888888"/>
    <n v="277570"/>
    <n v="308.4111111111111"/>
    <m/>
    <m/>
    <n v="0"/>
    <n v="0"/>
  </r>
  <r>
    <x v="10"/>
    <s v="Northwest Technology Center-Alva                  "/>
    <m/>
    <n v="366623"/>
    <x v="10"/>
    <m/>
    <m/>
    <m/>
    <m/>
    <m/>
    <m/>
    <m/>
    <m/>
    <m/>
    <m/>
    <n v="0"/>
    <n v="0"/>
    <n v="0"/>
    <n v="0"/>
    <m/>
    <m/>
    <n v="0"/>
    <n v="0"/>
    <m/>
    <m/>
    <m/>
    <m/>
    <m/>
    <m/>
    <n v="91037.75"/>
    <n v="92776.62"/>
    <n v="91037.75"/>
    <n v="101.15305555555555"/>
    <n v="92776.62"/>
    <n v="103.08513333333333"/>
    <m/>
    <m/>
    <n v="0"/>
    <n v="0"/>
  </r>
  <r>
    <x v="10"/>
    <s v="Northwest Technology Center-Fairview              "/>
    <m/>
    <n v="407601"/>
    <x v="10"/>
    <m/>
    <m/>
    <m/>
    <m/>
    <m/>
    <m/>
    <m/>
    <m/>
    <m/>
    <m/>
    <n v="0"/>
    <n v="0"/>
    <n v="0"/>
    <n v="0"/>
    <m/>
    <m/>
    <n v="0"/>
    <n v="0"/>
    <m/>
    <m/>
    <m/>
    <m/>
    <m/>
    <m/>
    <n v="89350"/>
    <n v="85314.25"/>
    <n v="89350"/>
    <n v="99.277777777777771"/>
    <n v="85314.25"/>
    <n v="94.793611111111105"/>
    <m/>
    <m/>
    <n v="0"/>
    <n v="0"/>
  </r>
  <r>
    <x v="10"/>
    <s v="Pioneer Technology Center                         "/>
    <m/>
    <n v="364627"/>
    <x v="10"/>
    <m/>
    <m/>
    <m/>
    <m/>
    <m/>
    <m/>
    <m/>
    <m/>
    <m/>
    <m/>
    <n v="0"/>
    <n v="0"/>
    <n v="0"/>
    <n v="0"/>
    <m/>
    <m/>
    <n v="0"/>
    <n v="0"/>
    <m/>
    <m/>
    <m/>
    <m/>
    <m/>
    <m/>
    <n v="319049"/>
    <n v="299488.75"/>
    <n v="319049"/>
    <n v="354.49888888888887"/>
    <n v="299488.75"/>
    <n v="332.76527777777778"/>
    <m/>
    <m/>
    <n v="0"/>
    <n v="0"/>
  </r>
  <r>
    <x v="10"/>
    <s v="Pontotoc Technology Center                        "/>
    <m/>
    <n v="206905"/>
    <x v="10"/>
    <m/>
    <m/>
    <m/>
    <m/>
    <m/>
    <m/>
    <m/>
    <m/>
    <m/>
    <m/>
    <n v="0"/>
    <n v="0"/>
    <n v="0"/>
    <n v="0"/>
    <m/>
    <m/>
    <n v="0"/>
    <n v="0"/>
    <m/>
    <m/>
    <m/>
    <m/>
    <m/>
    <m/>
    <n v="245485.5"/>
    <n v="201922"/>
    <n v="245485.5"/>
    <n v="272.76166666666666"/>
    <n v="201922"/>
    <n v="224.35777777777778"/>
    <m/>
    <m/>
    <n v="0"/>
    <n v="0"/>
  </r>
  <r>
    <x v="10"/>
    <s v="Red River Technology Center                       "/>
    <m/>
    <n v="250993"/>
    <x v="10"/>
    <m/>
    <m/>
    <m/>
    <m/>
    <m/>
    <m/>
    <m/>
    <m/>
    <m/>
    <m/>
    <n v="0"/>
    <n v="0"/>
    <n v="0"/>
    <n v="0"/>
    <m/>
    <m/>
    <n v="0"/>
    <n v="0"/>
    <m/>
    <m/>
    <m/>
    <m/>
    <m/>
    <m/>
    <n v="326031.05"/>
    <n v="312411.40999999997"/>
    <n v="326031.05"/>
    <n v="362.25672222222221"/>
    <n v="312411.40999999997"/>
    <n v="347.12378888888884"/>
    <m/>
    <m/>
    <n v="0"/>
    <n v="0"/>
  </r>
  <r>
    <x v="10"/>
    <s v="Southern Oklahoma Technology Center               "/>
    <m/>
    <n v="365198"/>
    <x v="10"/>
    <m/>
    <m/>
    <m/>
    <m/>
    <m/>
    <m/>
    <m/>
    <m/>
    <m/>
    <m/>
    <n v="0"/>
    <n v="0"/>
    <n v="0"/>
    <n v="0"/>
    <m/>
    <m/>
    <n v="0"/>
    <n v="0"/>
    <m/>
    <m/>
    <m/>
    <m/>
    <m/>
    <m/>
    <n v="393471.02"/>
    <n v="366536"/>
    <n v="393471.02"/>
    <n v="437.19002222222224"/>
    <n v="366536"/>
    <n v="407.26222222222225"/>
    <m/>
    <m/>
    <n v="0"/>
    <n v="0"/>
  </r>
  <r>
    <x v="10"/>
    <s v="Southwest Technology Center                       "/>
    <m/>
    <n v="368364"/>
    <x v="10"/>
    <m/>
    <m/>
    <m/>
    <m/>
    <m/>
    <m/>
    <m/>
    <m/>
    <m/>
    <m/>
    <n v="0"/>
    <n v="0"/>
    <n v="0"/>
    <n v="0"/>
    <m/>
    <m/>
    <n v="0"/>
    <n v="0"/>
    <m/>
    <m/>
    <m/>
    <m/>
    <m/>
    <m/>
    <n v="208643.5"/>
    <n v="233505"/>
    <n v="208643.5"/>
    <n v="231.82611111111112"/>
    <n v="233505"/>
    <n v="259.45"/>
    <m/>
    <m/>
    <n v="0"/>
    <n v="0"/>
  </r>
  <r>
    <x v="10"/>
    <s v="Tri County Technology Center                      "/>
    <m/>
    <n v="418287"/>
    <x v="10"/>
    <m/>
    <m/>
    <m/>
    <m/>
    <m/>
    <m/>
    <m/>
    <m/>
    <m/>
    <m/>
    <n v="0"/>
    <n v="0"/>
    <n v="0"/>
    <n v="0"/>
    <m/>
    <m/>
    <n v="0"/>
    <n v="0"/>
    <m/>
    <m/>
    <m/>
    <m/>
    <m/>
    <m/>
    <n v="408817"/>
    <n v="409084.75"/>
    <n v="408817"/>
    <n v="454.24111111111114"/>
    <n v="409084.75"/>
    <n v="454.53861111111109"/>
    <m/>
    <m/>
    <n v="0"/>
    <n v="0"/>
  </r>
  <r>
    <x v="10"/>
    <s v="Tulsa County Area Voc Tech School Dist 18-Peoria  "/>
    <m/>
    <n v="207607"/>
    <x v="10"/>
    <m/>
    <m/>
    <m/>
    <m/>
    <m/>
    <m/>
    <m/>
    <m/>
    <m/>
    <m/>
    <n v="0"/>
    <n v="0"/>
    <n v="0"/>
    <n v="0"/>
    <m/>
    <m/>
    <n v="0"/>
    <n v="0"/>
    <m/>
    <m/>
    <m/>
    <m/>
    <m/>
    <m/>
    <n v="389311"/>
    <n v="343403.42"/>
    <n v="389311"/>
    <n v="432.56777777777779"/>
    <n v="343403.42"/>
    <n v="381.55935555555556"/>
    <m/>
    <m/>
    <n v="0"/>
    <n v="0"/>
  </r>
  <r>
    <x v="10"/>
    <s v="Tulsa Technology Center-Broken Arrow Campus       "/>
    <s v="Reclassified: met criteria for Technical Institute or College 2 in 2009-10, 2010-11 and 2011-12."/>
    <n v="261393"/>
    <x v="10"/>
    <m/>
    <m/>
    <m/>
    <m/>
    <m/>
    <m/>
    <m/>
    <m/>
    <m/>
    <m/>
    <n v="0"/>
    <n v="0"/>
    <n v="0"/>
    <n v="0"/>
    <m/>
    <m/>
    <n v="0"/>
    <n v="0"/>
    <m/>
    <m/>
    <m/>
    <m/>
    <m/>
    <m/>
    <n v="611555.15"/>
    <n v="619510.21"/>
    <n v="611555.15"/>
    <n v="679.50572222222229"/>
    <n v="619510.21"/>
    <n v="688.34467777777775"/>
    <m/>
    <m/>
    <n v="0"/>
    <n v="0"/>
  </r>
  <r>
    <x v="10"/>
    <s v="Tulsa Technology Center-Lemley Campus             "/>
    <m/>
    <n v="261375"/>
    <x v="10"/>
    <m/>
    <m/>
    <m/>
    <m/>
    <m/>
    <m/>
    <m/>
    <m/>
    <m/>
    <m/>
    <n v="0"/>
    <n v="0"/>
    <n v="0"/>
    <n v="0"/>
    <m/>
    <m/>
    <n v="0"/>
    <n v="0"/>
    <m/>
    <m/>
    <m/>
    <m/>
    <m/>
    <m/>
    <n v="828316.5"/>
    <n v="847545.18"/>
    <n v="828316.5"/>
    <n v="920.35166666666669"/>
    <n v="847545.18"/>
    <n v="941.71686666666676"/>
    <m/>
    <m/>
    <n v="0"/>
    <n v="0"/>
  </r>
  <r>
    <x v="10"/>
    <s v="Tulsa Technology Center-Riverside Campus          "/>
    <m/>
    <n v="261384"/>
    <x v="10"/>
    <m/>
    <m/>
    <m/>
    <m/>
    <m/>
    <m/>
    <m/>
    <m/>
    <m/>
    <m/>
    <n v="0"/>
    <n v="0"/>
    <n v="0"/>
    <n v="0"/>
    <m/>
    <m/>
    <n v="0"/>
    <n v="0"/>
    <m/>
    <m/>
    <m/>
    <m/>
    <m/>
    <m/>
    <n v="447680.5"/>
    <n v="435187.5"/>
    <n v="447680.5"/>
    <n v="497.42277777777775"/>
    <n v="435187.5"/>
    <n v="483.54166666666669"/>
    <m/>
    <m/>
    <n v="0"/>
    <n v="0"/>
  </r>
  <r>
    <x v="10"/>
    <s v="Wes Watkins Technology Center                     "/>
    <m/>
    <n v="418357"/>
    <x v="10"/>
    <m/>
    <m/>
    <m/>
    <m/>
    <m/>
    <m/>
    <m/>
    <m/>
    <m/>
    <m/>
    <n v="0"/>
    <n v="0"/>
    <n v="0"/>
    <n v="0"/>
    <m/>
    <m/>
    <n v="0"/>
    <n v="0"/>
    <m/>
    <m/>
    <m/>
    <m/>
    <m/>
    <m/>
    <n v="248702.25"/>
    <n v="203069"/>
    <n v="248702.25"/>
    <n v="276.33583333333331"/>
    <n v="203069"/>
    <n v="225.63222222222223"/>
    <m/>
    <m/>
    <n v="0"/>
    <n v="0"/>
  </r>
  <r>
    <x v="10"/>
    <s v="Western Technology Center                         "/>
    <m/>
    <n v="418302"/>
    <x v="10"/>
    <m/>
    <m/>
    <m/>
    <m/>
    <m/>
    <m/>
    <m/>
    <m/>
    <m/>
    <m/>
    <n v="0"/>
    <n v="0"/>
    <n v="0"/>
    <n v="0"/>
    <m/>
    <m/>
    <n v="0"/>
    <n v="0"/>
    <m/>
    <m/>
    <m/>
    <m/>
    <m/>
    <m/>
    <n v="416375"/>
    <n v="434095.55"/>
    <n v="416375"/>
    <n v="462.63888888888891"/>
    <n v="434095.55"/>
    <n v="482.32838888888887"/>
    <m/>
    <m/>
    <n v="0"/>
    <n v="0"/>
  </r>
  <r>
    <x v="11"/>
    <s v="Clemson University"/>
    <m/>
    <n v="217882"/>
    <x v="0"/>
    <s v="sem"/>
    <s v="sem"/>
    <m/>
    <m/>
    <n v="211690"/>
    <n v="215291"/>
    <n v="25069"/>
    <n v="24389"/>
    <n v="230633"/>
    <n v="236236"/>
    <n v="467392"/>
    <n v="15579.733333333334"/>
    <n v="475916"/>
    <n v="15863.866666666667"/>
    <m/>
    <m/>
    <n v="0"/>
    <n v="0"/>
    <m/>
    <m/>
    <m/>
    <m/>
    <m/>
    <m/>
    <m/>
    <m/>
    <n v="0"/>
    <n v="0"/>
    <n v="0"/>
    <n v="0"/>
    <m/>
    <m/>
    <n v="0"/>
    <n v="0"/>
  </r>
  <r>
    <x v="11"/>
    <s v="University of South Carolina-Columbia"/>
    <m/>
    <n v="218663"/>
    <x v="0"/>
    <s v="sem"/>
    <s v="sem"/>
    <m/>
    <m/>
    <n v="280963"/>
    <n v="297287"/>
    <n v="30954"/>
    <n v="32445"/>
    <n v="316953"/>
    <n v="332511"/>
    <n v="628870"/>
    <n v="20962.333333333332"/>
    <n v="662243"/>
    <n v="22074.766666666666"/>
    <n v="197"/>
    <n v="143"/>
    <n v="628870"/>
    <n v="662243"/>
    <m/>
    <m/>
    <m/>
    <m/>
    <m/>
    <m/>
    <m/>
    <m/>
    <n v="0"/>
    <n v="0"/>
    <n v="0"/>
    <n v="0"/>
    <m/>
    <m/>
    <n v="0"/>
    <n v="0"/>
  </r>
  <r>
    <x v="11"/>
    <s v="College of Charleston"/>
    <m/>
    <n v="217819"/>
    <x v="2"/>
    <s v="sem"/>
    <s v="sem"/>
    <m/>
    <m/>
    <n v="137078"/>
    <n v="136212"/>
    <n v="13495"/>
    <n v="14126"/>
    <n v="144220"/>
    <n v="150084"/>
    <n v="294793"/>
    <n v="9826.4333333333325"/>
    <n v="300422"/>
    <n v="10014.066666666668"/>
    <n v="255"/>
    <n v="224"/>
    <n v="294793"/>
    <n v="300422"/>
    <m/>
    <m/>
    <m/>
    <m/>
    <m/>
    <m/>
    <m/>
    <m/>
    <n v="0"/>
    <n v="0"/>
    <n v="0"/>
    <n v="0"/>
    <m/>
    <m/>
    <n v="0"/>
    <n v="0"/>
  </r>
  <r>
    <x v="11"/>
    <s v="Winthrop University "/>
    <m/>
    <n v="218964"/>
    <x v="2"/>
    <s v="sem"/>
    <s v="sem"/>
    <m/>
    <m/>
    <n v="66324.5"/>
    <n v="65103"/>
    <n v="7445"/>
    <n v="8200"/>
    <n v="69817"/>
    <n v="69093"/>
    <n v="143586.5"/>
    <n v="4786.2166666666662"/>
    <n v="142396"/>
    <n v="4746.5333333333338"/>
    <n v="1206"/>
    <n v="1059"/>
    <n v="143586.5"/>
    <n v="142396"/>
    <m/>
    <m/>
    <m/>
    <m/>
    <m/>
    <m/>
    <m/>
    <m/>
    <n v="0"/>
    <n v="0"/>
    <n v="0"/>
    <n v="0"/>
    <m/>
    <m/>
    <n v="0"/>
    <n v="0"/>
  </r>
  <r>
    <x v="11"/>
    <s v="The Citadel, the Military College of South Carolina "/>
    <s v="Met the criteria for Four-Year 3 in 2011-12."/>
    <n v="217864"/>
    <x v="3"/>
    <s v="sem"/>
    <s v="sem"/>
    <m/>
    <m/>
    <n v="38139"/>
    <n v="39629"/>
    <n v="5626"/>
    <n v="5467"/>
    <n v="42111"/>
    <n v="42142"/>
    <n v="85876"/>
    <n v="2862.5333333333333"/>
    <n v="87238"/>
    <n v="2907.9333333333334"/>
    <n v="69"/>
    <n v="227"/>
    <n v="85876"/>
    <n v="87238"/>
    <m/>
    <m/>
    <m/>
    <m/>
    <m/>
    <m/>
    <m/>
    <m/>
    <n v="0"/>
    <n v="0"/>
    <n v="0"/>
    <n v="0"/>
    <m/>
    <m/>
    <n v="0"/>
    <n v="0"/>
  </r>
  <r>
    <x v="11"/>
    <s v="Coastal Carolina University"/>
    <m/>
    <n v="218724"/>
    <x v="4"/>
    <s v="sem"/>
    <s v="sem"/>
    <m/>
    <m/>
    <n v="104419"/>
    <n v="109295"/>
    <n v="10985"/>
    <n v="11181"/>
    <n v="121102"/>
    <n v="126828"/>
    <n v="236506"/>
    <n v="7883.5333333333338"/>
    <n v="247304"/>
    <n v="8243.4666666666672"/>
    <n v="320"/>
    <n v="93"/>
    <n v="236506"/>
    <n v="247304"/>
    <m/>
    <m/>
    <m/>
    <m/>
    <m/>
    <m/>
    <m/>
    <m/>
    <n v="0"/>
    <n v="0"/>
    <n v="0"/>
    <n v="0"/>
    <m/>
    <m/>
    <n v="0"/>
    <n v="0"/>
  </r>
  <r>
    <x v="11"/>
    <s v="Francis Marion University "/>
    <m/>
    <n v="218061"/>
    <x v="4"/>
    <s v="sem"/>
    <s v="sem"/>
    <m/>
    <m/>
    <n v="45870"/>
    <n v="47620"/>
    <n v="5748"/>
    <n v="5279"/>
    <n v="51685"/>
    <n v="52100"/>
    <n v="103303"/>
    <n v="3443.4333333333334"/>
    <n v="104999"/>
    <n v="3499.9666666666667"/>
    <n v="670"/>
    <n v="1603"/>
    <n v="103303"/>
    <n v="104999"/>
    <m/>
    <m/>
    <m/>
    <m/>
    <m/>
    <m/>
    <m/>
    <m/>
    <n v="0"/>
    <n v="0"/>
    <n v="0"/>
    <n v="0"/>
    <m/>
    <m/>
    <n v="0"/>
    <n v="0"/>
  </r>
  <r>
    <x v="11"/>
    <s v="South Carolina State University "/>
    <m/>
    <n v="218733"/>
    <x v="4"/>
    <s v="sem"/>
    <s v="sem"/>
    <m/>
    <m/>
    <n v="51274"/>
    <n v="50332"/>
    <n v="9475"/>
    <n v="7507"/>
    <n v="54425"/>
    <n v="54604"/>
    <n v="115174"/>
    <n v="3839.1333333333332"/>
    <n v="112443"/>
    <n v="3748.1"/>
    <m/>
    <m/>
    <n v="0"/>
    <n v="0"/>
    <m/>
    <m/>
    <m/>
    <m/>
    <m/>
    <m/>
    <m/>
    <m/>
    <n v="0"/>
    <n v="0"/>
    <n v="0"/>
    <n v="0"/>
    <m/>
    <m/>
    <n v="0"/>
    <n v="0"/>
  </r>
  <r>
    <x v="11"/>
    <s v="Lander University"/>
    <m/>
    <n v="218229"/>
    <x v="5"/>
    <s v="sem"/>
    <s v="sem"/>
    <m/>
    <m/>
    <n v="36674.5"/>
    <n v="38776"/>
    <n v="3857"/>
    <n v="4083"/>
    <n v="42265"/>
    <n v="42546"/>
    <n v="82796.5"/>
    <n v="2759.8833333333332"/>
    <n v="85405"/>
    <n v="2846.8333333333335"/>
    <n v="189"/>
    <n v="179"/>
    <n v="82796.5"/>
    <n v="85405"/>
    <m/>
    <m/>
    <m/>
    <m/>
    <m/>
    <m/>
    <m/>
    <m/>
    <n v="0"/>
    <n v="0"/>
    <n v="0"/>
    <n v="0"/>
    <m/>
    <m/>
    <n v="0"/>
    <n v="0"/>
  </r>
  <r>
    <x v="11"/>
    <s v="University of South Carolina-Aiken"/>
    <m/>
    <n v="218645"/>
    <x v="5"/>
    <s v="sem"/>
    <s v="sem"/>
    <m/>
    <m/>
    <n v="37841"/>
    <n v="37961"/>
    <n v="4728"/>
    <n v="5294"/>
    <n v="41995"/>
    <n v="41204"/>
    <n v="84564"/>
    <n v="2818.8"/>
    <n v="84459"/>
    <n v="2815.3"/>
    <n v="613"/>
    <n v="641"/>
    <n v="84564"/>
    <n v="84459"/>
    <m/>
    <m/>
    <m/>
    <m/>
    <m/>
    <m/>
    <m/>
    <m/>
    <n v="0"/>
    <n v="0"/>
    <n v="0"/>
    <n v="0"/>
    <m/>
    <m/>
    <n v="0"/>
    <n v="0"/>
  </r>
  <r>
    <x v="11"/>
    <s v="University of South Carolina-Beaufort"/>
    <m/>
    <n v="218654"/>
    <x v="5"/>
    <s v="sem"/>
    <s v="sem"/>
    <m/>
    <m/>
    <n v="20131"/>
    <n v="21353"/>
    <n v="2808"/>
    <n v="2922"/>
    <n v="22775"/>
    <n v="23892"/>
    <n v="45714"/>
    <n v="1523.8"/>
    <n v="48167"/>
    <n v="1605.5666666666666"/>
    <n v="56"/>
    <n v="70"/>
    <n v="45714"/>
    <n v="48167"/>
    <m/>
    <m/>
    <m/>
    <m/>
    <m/>
    <m/>
    <m/>
    <m/>
    <n v="0"/>
    <n v="0"/>
    <n v="0"/>
    <n v="0"/>
    <m/>
    <m/>
    <n v="0"/>
    <n v="0"/>
  </r>
  <r>
    <x v="11"/>
    <s v="University of South Carolina-Upstate"/>
    <m/>
    <n v="218742"/>
    <x v="5"/>
    <s v="sem"/>
    <s v="sem"/>
    <m/>
    <m/>
    <n v="66792"/>
    <n v="68592"/>
    <n v="7916"/>
    <n v="8352"/>
    <n v="73882"/>
    <n v="72853"/>
    <n v="148590"/>
    <n v="4953"/>
    <n v="149797"/>
    <n v="4993.2333333333336"/>
    <n v="1790"/>
    <n v="2028"/>
    <n v="148590"/>
    <n v="149797"/>
    <m/>
    <m/>
    <m/>
    <m/>
    <m/>
    <m/>
    <m/>
    <m/>
    <n v="0"/>
    <n v="0"/>
    <n v="0"/>
    <n v="0"/>
    <m/>
    <m/>
    <n v="0"/>
    <n v="0"/>
  </r>
  <r>
    <x v="11"/>
    <s v="Greenville Technical College "/>
    <m/>
    <n v="218113"/>
    <x v="6"/>
    <s v="sem"/>
    <s v="sem"/>
    <m/>
    <m/>
    <n v="155095"/>
    <n v="148927.34999999998"/>
    <n v="62610"/>
    <n v="56767.560000000005"/>
    <n v="160159"/>
    <n v="152072.21"/>
    <n v="377864"/>
    <n v="12595.466666666667"/>
    <n v="357767.12"/>
    <n v="11925.570666666667"/>
    <n v="7883"/>
    <n v="10314"/>
    <n v="377864"/>
    <n v="357767.12"/>
    <m/>
    <m/>
    <m/>
    <m/>
    <m/>
    <m/>
    <m/>
    <m/>
    <n v="0"/>
    <n v="0"/>
    <n v="0"/>
    <n v="0"/>
    <m/>
    <m/>
    <n v="0"/>
    <n v="0"/>
  </r>
  <r>
    <x v="11"/>
    <s v="Horry-Georgetown Technical College "/>
    <s v="Reclassified: Met the criteria for Two-year 1 in 2009-10, 2010-11, and 2011-12."/>
    <n v="218140"/>
    <x v="6"/>
    <s v="sem"/>
    <s v="sem"/>
    <m/>
    <m/>
    <n v="75879"/>
    <n v="75067.030000000013"/>
    <n v="28323"/>
    <n v="27859.530000000002"/>
    <n v="77162"/>
    <n v="75063.459999999992"/>
    <n v="181364"/>
    <n v="6045.4666666666662"/>
    <n v="177990.02000000002"/>
    <n v="5933.0006666666677"/>
    <n v="3931"/>
    <n v="5201"/>
    <n v="181364"/>
    <n v="177990.02000000002"/>
    <m/>
    <m/>
    <m/>
    <m/>
    <m/>
    <m/>
    <m/>
    <m/>
    <n v="0"/>
    <n v="0"/>
    <n v="0"/>
    <n v="0"/>
    <m/>
    <m/>
    <n v="0"/>
    <n v="0"/>
  </r>
  <r>
    <x v="11"/>
    <s v="Midlands Technical College "/>
    <m/>
    <n v="218353"/>
    <x v="6"/>
    <s v="sem"/>
    <s v="sem"/>
    <m/>
    <m/>
    <n v="123089"/>
    <n v="119033.01"/>
    <n v="56900"/>
    <n v="54145.53"/>
    <n v="129479"/>
    <n v="131242.36000000002"/>
    <n v="309468"/>
    <n v="10315.6"/>
    <n v="304420.90000000002"/>
    <n v="10147.363333333335"/>
    <n v="1411"/>
    <n v="1287"/>
    <n v="309468"/>
    <n v="304420.90000000002"/>
    <m/>
    <m/>
    <m/>
    <m/>
    <m/>
    <m/>
    <m/>
    <m/>
    <n v="0"/>
    <n v="0"/>
    <n v="0"/>
    <n v="0"/>
    <m/>
    <m/>
    <n v="0"/>
    <n v="0"/>
  </r>
  <r>
    <x v="11"/>
    <s v="Tri-County Technical College "/>
    <s v="Reclassified: Met the criteria for Two-year 1 in 2009-10, 2010-11, and 2011-12."/>
    <n v="218885"/>
    <x v="6"/>
    <s v="sem"/>
    <s v="sem"/>
    <m/>
    <m/>
    <n v="73615"/>
    <n v="74788.17"/>
    <n v="27609"/>
    <n v="28096.77"/>
    <n v="81583"/>
    <n v="79476.34"/>
    <n v="182807"/>
    <n v="6093.5666666666666"/>
    <n v="182361.28"/>
    <n v="6078.7093333333332"/>
    <n v="5457"/>
    <n v="5385"/>
    <n v="182807"/>
    <n v="182361.28"/>
    <m/>
    <m/>
    <m/>
    <m/>
    <m/>
    <m/>
    <m/>
    <m/>
    <n v="0"/>
    <n v="0"/>
    <n v="0"/>
    <n v="0"/>
    <m/>
    <m/>
    <n v="0"/>
    <n v="0"/>
  </r>
  <r>
    <x v="11"/>
    <s v="Trident Technical College "/>
    <m/>
    <n v="218894"/>
    <x v="6"/>
    <s v="sem"/>
    <s v="sem"/>
    <m/>
    <m/>
    <n v="147296"/>
    <n v="153372.26999999999"/>
    <n v="73125"/>
    <n v="76076.94"/>
    <n v="157759"/>
    <n v="166684.25999999998"/>
    <n v="378180"/>
    <n v="12606"/>
    <n v="396133.47"/>
    <n v="13204.448999999999"/>
    <n v="7364"/>
    <n v="7716"/>
    <n v="378180"/>
    <n v="396133.47"/>
    <m/>
    <m/>
    <m/>
    <m/>
    <m/>
    <m/>
    <m/>
    <m/>
    <n v="0"/>
    <n v="0"/>
    <n v="0"/>
    <n v="0"/>
    <m/>
    <m/>
    <n v="0"/>
    <n v="0"/>
  </r>
  <r>
    <x v="11"/>
    <s v="Aiken Technical College "/>
    <m/>
    <n v="217615"/>
    <x v="7"/>
    <s v="sem"/>
    <s v="sem"/>
    <m/>
    <m/>
    <n v="33634"/>
    <n v="32334.39"/>
    <n v="14576"/>
    <n v="11698.03"/>
    <n v="34972"/>
    <n v="34484.67"/>
    <n v="83182"/>
    <n v="2772.7333333333331"/>
    <n v="78517.09"/>
    <n v="2617.2363333333333"/>
    <n v="409"/>
    <n v="580"/>
    <n v="83182"/>
    <n v="78517.09"/>
    <m/>
    <m/>
    <m/>
    <m/>
    <m/>
    <m/>
    <m/>
    <m/>
    <n v="0"/>
    <n v="0"/>
    <n v="0"/>
    <n v="0"/>
    <m/>
    <m/>
    <n v="0"/>
    <n v="0"/>
  </r>
  <r>
    <x v="11"/>
    <s v="Central Carolina Technical College "/>
    <m/>
    <n v="218858"/>
    <x v="7"/>
    <s v="sem"/>
    <s v="sem"/>
    <m/>
    <m/>
    <n v="37893"/>
    <n v="37693.81"/>
    <n v="18427"/>
    <n v="17233.2"/>
    <n v="40584"/>
    <n v="41682.21"/>
    <n v="96904"/>
    <n v="3230.1333333333332"/>
    <n v="96609.22"/>
    <n v="3220.3073333333332"/>
    <n v="2965"/>
    <n v="2965"/>
    <n v="96904"/>
    <n v="96609.22"/>
    <m/>
    <m/>
    <m/>
    <m/>
    <m/>
    <m/>
    <m/>
    <m/>
    <n v="0"/>
    <n v="0"/>
    <n v="0"/>
    <n v="0"/>
    <m/>
    <m/>
    <n v="0"/>
    <n v="0"/>
  </r>
  <r>
    <x v="11"/>
    <s v="Florence-Darlington Technical College "/>
    <s v="Met the criteria for Two-year 1 in 2010-11 and 2011-12."/>
    <n v="218025"/>
    <x v="7"/>
    <s v="sem"/>
    <s v="sem"/>
    <m/>
    <m/>
    <n v="60325"/>
    <n v="62769.43"/>
    <n v="26603"/>
    <n v="26266.17"/>
    <n v="66526"/>
    <n v="66154.420000000013"/>
    <n v="153454"/>
    <n v="5115.1333333333332"/>
    <n v="155190.02000000002"/>
    <n v="5173.0006666666677"/>
    <n v="874"/>
    <n v="883"/>
    <n v="153454"/>
    <n v="155190.02000000002"/>
    <m/>
    <m/>
    <m/>
    <m/>
    <m/>
    <m/>
    <m/>
    <m/>
    <n v="0"/>
    <n v="0"/>
    <n v="0"/>
    <n v="0"/>
    <m/>
    <m/>
    <n v="0"/>
    <n v="0"/>
  </r>
  <r>
    <x v="11"/>
    <s v="Orangeburg-Calhoun Technical College "/>
    <m/>
    <n v="218487"/>
    <x v="7"/>
    <s v="sem"/>
    <s v="sem"/>
    <m/>
    <m/>
    <n v="30728"/>
    <n v="29415.019999999997"/>
    <n v="12816"/>
    <n v="12361.019999999999"/>
    <n v="33419"/>
    <n v="29616.820000000003"/>
    <n v="76963"/>
    <n v="2565.4333333333334"/>
    <n v="71392.86"/>
    <n v="2379.7620000000002"/>
    <n v="4197"/>
    <n v="5214"/>
    <n v="76963"/>
    <n v="71392.86"/>
    <m/>
    <m/>
    <m/>
    <m/>
    <m/>
    <m/>
    <m/>
    <m/>
    <n v="0"/>
    <n v="0"/>
    <n v="0"/>
    <n v="0"/>
    <m/>
    <m/>
    <n v="0"/>
    <n v="0"/>
  </r>
  <r>
    <x v="11"/>
    <s v="Piedmont Technical College "/>
    <s v="Met the criteria for Two-year 1 in 2010-11 and 2011-12."/>
    <n v="218520"/>
    <x v="7"/>
    <s v="sem"/>
    <s v="sem"/>
    <m/>
    <m/>
    <n v="60582"/>
    <n v="56429.969999999994"/>
    <n v="30180"/>
    <n v="29623.039999999997"/>
    <n v="65274"/>
    <n v="65603.86"/>
    <n v="156036"/>
    <n v="5201.2"/>
    <n v="151656.87"/>
    <n v="5055.2290000000003"/>
    <n v="7655"/>
    <n v="10116"/>
    <n v="156036"/>
    <n v="151656.87"/>
    <m/>
    <m/>
    <m/>
    <m/>
    <m/>
    <m/>
    <m/>
    <m/>
    <n v="0"/>
    <n v="0"/>
    <n v="0"/>
    <n v="0"/>
    <m/>
    <m/>
    <n v="0"/>
    <n v="0"/>
  </r>
  <r>
    <x v="11"/>
    <s v="Spartanburg Community College "/>
    <m/>
    <n v="218830"/>
    <x v="7"/>
    <s v="sem"/>
    <s v="sem"/>
    <m/>
    <m/>
    <n v="60296"/>
    <n v="59062.23"/>
    <n v="26081"/>
    <n v="24762.95"/>
    <n v="64311"/>
    <n v="61544.94"/>
    <n v="150688"/>
    <n v="5022.9333333333334"/>
    <n v="145370.12"/>
    <n v="4845.6706666666669"/>
    <n v="4261"/>
    <n v="4306"/>
    <n v="150688"/>
    <n v="145370.12"/>
    <m/>
    <m/>
    <m/>
    <m/>
    <m/>
    <m/>
    <m/>
    <m/>
    <n v="0"/>
    <n v="0"/>
    <n v="0"/>
    <n v="0"/>
    <m/>
    <m/>
    <n v="0"/>
    <n v="0"/>
  </r>
  <r>
    <x v="11"/>
    <s v="York Technical College "/>
    <m/>
    <n v="218991"/>
    <x v="7"/>
    <s v="sem"/>
    <s v="sem"/>
    <m/>
    <m/>
    <n v="61701"/>
    <n v="58380.35"/>
    <n v="29490"/>
    <n v="25935.54"/>
    <n v="65962"/>
    <n v="58007.85"/>
    <n v="157153"/>
    <n v="5238.4333333333334"/>
    <n v="142323.74"/>
    <n v="4744.1246666666666"/>
    <n v="6942"/>
    <n v="6061"/>
    <n v="157153"/>
    <n v="142323.74"/>
    <m/>
    <m/>
    <m/>
    <m/>
    <m/>
    <m/>
    <m/>
    <m/>
    <n v="0"/>
    <n v="0"/>
    <n v="0"/>
    <n v="0"/>
    <m/>
    <m/>
    <n v="0"/>
    <n v="0"/>
  </r>
  <r>
    <x v="11"/>
    <s v="Denmark Technical College "/>
    <m/>
    <n v="217989"/>
    <x v="8"/>
    <s v="sem"/>
    <s v="sem"/>
    <m/>
    <m/>
    <n v="17192"/>
    <n v="11987"/>
    <n v="5273"/>
    <n v="3736.42"/>
    <n v="13967"/>
    <n v="22499.91"/>
    <n v="36432"/>
    <n v="1214.4000000000001"/>
    <n v="38223.33"/>
    <n v="1274.1110000000001"/>
    <m/>
    <m/>
    <n v="0"/>
    <n v="0"/>
    <m/>
    <m/>
    <m/>
    <m/>
    <m/>
    <m/>
    <m/>
    <m/>
    <n v="0"/>
    <n v="0"/>
    <n v="0"/>
    <n v="0"/>
    <m/>
    <m/>
    <n v="0"/>
    <n v="0"/>
  </r>
  <r>
    <x v="11"/>
    <s v="Northeastern Technical College "/>
    <m/>
    <n v="217837"/>
    <x v="8"/>
    <s v="sem"/>
    <s v="sem"/>
    <m/>
    <m/>
    <n v="12583"/>
    <n v="13200.18"/>
    <n v="6944"/>
    <n v="6317.71"/>
    <n v="14463"/>
    <n v="14675.9"/>
    <n v="33990"/>
    <n v="1133"/>
    <n v="34193.79"/>
    <n v="1139.7930000000001"/>
    <n v="1154"/>
    <n v="1077"/>
    <n v="33990"/>
    <n v="34193.79"/>
    <m/>
    <m/>
    <m/>
    <m/>
    <m/>
    <m/>
    <m/>
    <m/>
    <n v="0"/>
    <n v="0"/>
    <n v="0"/>
    <n v="0"/>
    <m/>
    <m/>
    <n v="0"/>
    <n v="0"/>
  </r>
  <r>
    <x v="11"/>
    <s v="Technical College of the Lowcountry"/>
    <s v="Met the criteria for Two-Year 2 in 2011-12."/>
    <n v="217712"/>
    <x v="8"/>
    <s v="sem"/>
    <s v="sem"/>
    <m/>
    <m/>
    <n v="26215"/>
    <n v="26277.49"/>
    <n v="12288"/>
    <n v="12049.68"/>
    <n v="27625"/>
    <n v="25182.799999999996"/>
    <n v="66128"/>
    <n v="2204.2666666666669"/>
    <n v="63509.969999999994"/>
    <n v="2116.9989999999998"/>
    <n v="2226"/>
    <n v="3230"/>
    <n v="66128"/>
    <n v="63509.969999999994"/>
    <m/>
    <m/>
    <m/>
    <m/>
    <m/>
    <m/>
    <m/>
    <m/>
    <n v="0"/>
    <n v="0"/>
    <n v="0"/>
    <n v="0"/>
    <m/>
    <m/>
    <n v="0"/>
    <n v="0"/>
  </r>
  <r>
    <x v="11"/>
    <s v="University of South Carolina-Lancaster"/>
    <m/>
    <n v="218672"/>
    <x v="8"/>
    <s v="sem"/>
    <s v="sem"/>
    <m/>
    <m/>
    <n v="15332"/>
    <n v="15347"/>
    <n v="2472"/>
    <n v="2302"/>
    <n v="17143"/>
    <n v="18890"/>
    <n v="34947"/>
    <n v="1164.9000000000001"/>
    <n v="36539"/>
    <n v="1217.9666666666667"/>
    <n v="2449"/>
    <n v="3394"/>
    <n v="34947"/>
    <n v="36539"/>
    <m/>
    <m/>
    <m/>
    <m/>
    <m/>
    <m/>
    <m/>
    <m/>
    <n v="0"/>
    <n v="0"/>
    <n v="0"/>
    <n v="0"/>
    <m/>
    <m/>
    <n v="0"/>
    <n v="0"/>
  </r>
  <r>
    <x v="11"/>
    <s v="University of South Carolina-Salkehatchie"/>
    <m/>
    <n v="218681"/>
    <x v="8"/>
    <s v="sem"/>
    <s v="sem"/>
    <m/>
    <m/>
    <n v="9527"/>
    <n v="11479"/>
    <n v="1001"/>
    <n v="1205"/>
    <n v="11453"/>
    <n v="11380"/>
    <n v="21981"/>
    <n v="732.7"/>
    <n v="24064"/>
    <n v="802.13333333333333"/>
    <n v="1282"/>
    <n v="1403"/>
    <n v="21981"/>
    <n v="24064"/>
    <m/>
    <m/>
    <m/>
    <m/>
    <m/>
    <m/>
    <m/>
    <m/>
    <n v="0"/>
    <n v="0"/>
    <n v="0"/>
    <n v="0"/>
    <m/>
    <m/>
    <n v="0"/>
    <n v="0"/>
  </r>
  <r>
    <x v="11"/>
    <s v="University of South Carolina-Sumter"/>
    <m/>
    <n v="218690"/>
    <x v="8"/>
    <s v="sem"/>
    <s v="sem"/>
    <m/>
    <m/>
    <n v="11691"/>
    <n v="11564"/>
    <n v="1518"/>
    <n v="1439"/>
    <n v="13166"/>
    <n v="11625"/>
    <n v="26375"/>
    <n v="879.16666666666663"/>
    <n v="24628"/>
    <n v="820.93333333333328"/>
    <n v="3007"/>
    <n v="3081"/>
    <n v="26375"/>
    <n v="24628"/>
    <m/>
    <m/>
    <m/>
    <m/>
    <m/>
    <m/>
    <m/>
    <m/>
    <n v="0"/>
    <n v="0"/>
    <n v="0"/>
    <n v="0"/>
    <m/>
    <m/>
    <n v="0"/>
    <n v="0"/>
  </r>
  <r>
    <x v="11"/>
    <s v="University of South Carolina-Union"/>
    <m/>
    <n v="218706"/>
    <x v="8"/>
    <s v="sem"/>
    <s v="sem"/>
    <m/>
    <m/>
    <n v="4707"/>
    <n v="5960"/>
    <n v="575"/>
    <n v="559"/>
    <n v="5392"/>
    <n v="5014"/>
    <n v="10674"/>
    <n v="355.8"/>
    <n v="11533"/>
    <n v="384.43333333333334"/>
    <n v="2643"/>
    <n v="3503"/>
    <n v="10674"/>
    <n v="11533"/>
    <m/>
    <m/>
    <m/>
    <m/>
    <m/>
    <m/>
    <m/>
    <m/>
    <n v="0"/>
    <n v="0"/>
    <n v="0"/>
    <n v="0"/>
    <m/>
    <m/>
    <n v="0"/>
    <n v="0"/>
  </r>
  <r>
    <x v="11"/>
    <s v="Willamsburg Technical College "/>
    <m/>
    <n v="218955"/>
    <x v="8"/>
    <s v="sem"/>
    <s v="sem"/>
    <m/>
    <m/>
    <n v="7733"/>
    <n v="6513.01"/>
    <n v="4432"/>
    <n v="3810.52"/>
    <n v="7254"/>
    <n v="6284.96"/>
    <n v="19419"/>
    <n v="647.29999999999995"/>
    <n v="16608.490000000002"/>
    <n v="553.61633333333339"/>
    <n v="363"/>
    <n v="165"/>
    <n v="19419"/>
    <n v="16608.490000000002"/>
    <m/>
    <m/>
    <m/>
    <m/>
    <m/>
    <m/>
    <m/>
    <m/>
    <n v="0"/>
    <n v="0"/>
    <n v="0"/>
    <n v="0"/>
    <m/>
    <m/>
    <n v="0"/>
    <n v="0"/>
  </r>
  <r>
    <x v="12"/>
    <s v="University of Memphis"/>
    <m/>
    <n v="220862"/>
    <x v="0"/>
    <s v="sem"/>
    <s v="sem"/>
    <m/>
    <m/>
    <n v="189752"/>
    <n v="200974"/>
    <n v="29485"/>
    <n v="30227"/>
    <n v="213057"/>
    <n v="216891"/>
    <n v="432294"/>
    <n v="14409.8"/>
    <n v="448092"/>
    <n v="14936.4"/>
    <m/>
    <m/>
    <n v="0"/>
    <n v="0"/>
    <m/>
    <m/>
    <m/>
    <m/>
    <m/>
    <m/>
    <m/>
    <m/>
    <n v="0"/>
    <n v="0"/>
    <n v="0"/>
    <n v="0"/>
    <m/>
    <m/>
    <n v="0"/>
    <n v="0"/>
  </r>
  <r>
    <x v="12"/>
    <s v="University of Tennessee, Knoxville"/>
    <m/>
    <n v="221759"/>
    <x v="0"/>
    <s v="sem"/>
    <s v="sem"/>
    <m/>
    <m/>
    <n v="278467"/>
    <n v="223012"/>
    <n v="37625"/>
    <n v="32903"/>
    <n v="289785"/>
    <n v="281570"/>
    <n v="605877"/>
    <n v="20195.900000000001"/>
    <n v="537485"/>
    <n v="17916.166666666668"/>
    <m/>
    <m/>
    <n v="0"/>
    <n v="0"/>
    <m/>
    <m/>
    <m/>
    <m/>
    <m/>
    <m/>
    <m/>
    <m/>
    <n v="0"/>
    <n v="0"/>
    <n v="0"/>
    <n v="0"/>
    <m/>
    <m/>
    <n v="0"/>
    <n v="0"/>
  </r>
  <r>
    <x v="12"/>
    <s v="Tennessee State University "/>
    <s v="Reclassified: Met the criteria for Four-Year 2 in 2009-10, 2010-11, and 2011-12."/>
    <n v="221838"/>
    <x v="1"/>
    <s v="sem"/>
    <s v="sem"/>
    <m/>
    <m/>
    <n v="84107"/>
    <n v="82054"/>
    <n v="12307"/>
    <n v="14911"/>
    <n v="88332"/>
    <n v="88692"/>
    <n v="184746"/>
    <n v="6158.2"/>
    <n v="185657"/>
    <n v="6188.5666666666666"/>
    <m/>
    <m/>
    <n v="0"/>
    <n v="0"/>
    <m/>
    <m/>
    <m/>
    <m/>
    <m/>
    <m/>
    <m/>
    <m/>
    <n v="0"/>
    <n v="0"/>
    <n v="0"/>
    <n v="0"/>
    <m/>
    <m/>
    <n v="0"/>
    <n v="0"/>
  </r>
  <r>
    <x v="12"/>
    <s v="Austin Peay State University "/>
    <m/>
    <n v="219602"/>
    <x v="2"/>
    <s v="sem"/>
    <s v="sem"/>
    <m/>
    <m/>
    <n v="98062"/>
    <n v="103833"/>
    <n v="20624"/>
    <n v="22046"/>
    <n v="119686"/>
    <n v="120070"/>
    <n v="238372"/>
    <n v="7945.7333333333336"/>
    <n v="245949"/>
    <n v="8198.2999999999993"/>
    <n v="1251"/>
    <n v="1577"/>
    <n v="238372"/>
    <n v="245949"/>
    <m/>
    <m/>
    <m/>
    <m/>
    <m/>
    <m/>
    <m/>
    <m/>
    <n v="0"/>
    <n v="0"/>
    <n v="0"/>
    <n v="0"/>
    <m/>
    <m/>
    <n v="0"/>
    <n v="0"/>
  </r>
  <r>
    <x v="12"/>
    <s v="East Tennessee State University "/>
    <m/>
    <n v="220075"/>
    <x v="2"/>
    <s v="sem"/>
    <s v="sem"/>
    <m/>
    <m/>
    <n v="141732"/>
    <n v="148311"/>
    <n v="23485"/>
    <n v="24097"/>
    <n v="160600"/>
    <n v="164764"/>
    <n v="325817"/>
    <n v="10860.566666666668"/>
    <n v="337172"/>
    <n v="11239.066666666668"/>
    <m/>
    <m/>
    <n v="0"/>
    <n v="0"/>
    <m/>
    <m/>
    <m/>
    <m/>
    <m/>
    <m/>
    <m/>
    <m/>
    <n v="0"/>
    <n v="0"/>
    <n v="0"/>
    <n v="0"/>
    <m/>
    <m/>
    <n v="0"/>
    <n v="0"/>
  </r>
  <r>
    <x v="12"/>
    <s v="Middle Tennessee State University "/>
    <m/>
    <n v="220978"/>
    <x v="2"/>
    <s v="sem"/>
    <s v="sem"/>
    <m/>
    <m/>
    <n v="269515"/>
    <n v="280020"/>
    <n v="46449"/>
    <n v="47561"/>
    <n v="304889"/>
    <n v="301604"/>
    <n v="620853"/>
    <n v="20695.099999999999"/>
    <n v="629185"/>
    <n v="20972.833333333332"/>
    <m/>
    <m/>
    <n v="0"/>
    <n v="0"/>
    <m/>
    <m/>
    <m/>
    <m/>
    <m/>
    <m/>
    <m/>
    <m/>
    <n v="0"/>
    <n v="0"/>
    <n v="0"/>
    <n v="0"/>
    <m/>
    <m/>
    <n v="0"/>
    <n v="0"/>
  </r>
  <r>
    <x v="12"/>
    <s v="Tennessee Technological University "/>
    <m/>
    <n v="221847"/>
    <x v="2"/>
    <s v="sem"/>
    <s v="sem"/>
    <m/>
    <m/>
    <n v="110929"/>
    <n v="117328"/>
    <n v="10499"/>
    <n v="13099"/>
    <n v="128270"/>
    <n v="132670"/>
    <n v="249698"/>
    <n v="8323.2666666666664"/>
    <n v="263097"/>
    <n v="8769.9"/>
    <m/>
    <m/>
    <n v="0"/>
    <n v="0"/>
    <m/>
    <m/>
    <m/>
    <m/>
    <m/>
    <m/>
    <m/>
    <m/>
    <n v="0"/>
    <n v="0"/>
    <n v="0"/>
    <n v="0"/>
    <m/>
    <m/>
    <n v="0"/>
    <n v="0"/>
  </r>
  <r>
    <x v="12"/>
    <s v="University of Tennessee at Chattanooga"/>
    <m/>
    <n v="221740"/>
    <x v="2"/>
    <s v="sem"/>
    <s v="sem"/>
    <m/>
    <m/>
    <n v="113249"/>
    <n v="109626"/>
    <n v="15127"/>
    <n v="14737"/>
    <n v="132341"/>
    <n v="132574"/>
    <n v="260717"/>
    <n v="8690.5666666666675"/>
    <n v="256937"/>
    <n v="8564.5666666666675"/>
    <m/>
    <m/>
    <n v="0"/>
    <n v="0"/>
    <m/>
    <m/>
    <m/>
    <m/>
    <m/>
    <m/>
    <m/>
    <m/>
    <n v="0"/>
    <n v="0"/>
    <n v="0"/>
    <n v="0"/>
    <m/>
    <m/>
    <n v="0"/>
    <n v="0"/>
  </r>
  <r>
    <x v="12"/>
    <s v="University of Tennessee at Martin"/>
    <s v="Met the criteria for Four-Year 4 in 2011-12."/>
    <n v="221768"/>
    <x v="4"/>
    <s v="sem"/>
    <s v="sem"/>
    <m/>
    <m/>
    <n v="91563"/>
    <n v="82652"/>
    <n v="11862"/>
    <n v="13865"/>
    <n v="100476"/>
    <n v="99680"/>
    <n v="203901"/>
    <n v="6796.7"/>
    <n v="196197"/>
    <n v="6539.9"/>
    <n v="6272"/>
    <n v="5557"/>
    <n v="203901"/>
    <n v="196197"/>
    <m/>
    <m/>
    <m/>
    <m/>
    <m/>
    <m/>
    <m/>
    <m/>
    <n v="0"/>
    <n v="0"/>
    <n v="0"/>
    <n v="0"/>
    <m/>
    <m/>
    <n v="0"/>
    <n v="0"/>
  </r>
  <r>
    <x v="12"/>
    <s v="Chattanooga State Technical Community College "/>
    <m/>
    <n v="219824"/>
    <x v="6"/>
    <s v="sem"/>
    <s v="sem"/>
    <m/>
    <m/>
    <n v="86188"/>
    <n v="94137"/>
    <n v="21070"/>
    <n v="20055"/>
    <n v="100682"/>
    <n v="100065"/>
    <n v="207940"/>
    <n v="6931.333333333333"/>
    <n v="214257"/>
    <n v="7141.9"/>
    <n v="9189"/>
    <n v="10640"/>
    <n v="207940"/>
    <n v="214257"/>
    <m/>
    <m/>
    <m/>
    <m/>
    <m/>
    <m/>
    <m/>
    <m/>
    <n v="0"/>
    <n v="0"/>
    <n v="0"/>
    <n v="0"/>
    <m/>
    <m/>
    <n v="0"/>
    <n v="0"/>
  </r>
  <r>
    <x v="12"/>
    <s v="Nashville State Technical Community College"/>
    <s v="Reclassified: Met the criteria for Two-year 1 in 2009-10, 2010-11, and 2011-12."/>
    <n v="221184"/>
    <x v="6"/>
    <s v="sem"/>
    <s v="sem"/>
    <m/>
    <m/>
    <n v="81382"/>
    <n v="84010"/>
    <n v="22953"/>
    <n v="27112"/>
    <n v="84285"/>
    <n v="85290"/>
    <n v="188620"/>
    <n v="6287.333333333333"/>
    <n v="196412"/>
    <n v="6547.0666666666666"/>
    <n v="5342"/>
    <n v="5677"/>
    <n v="188620"/>
    <n v="196412"/>
    <m/>
    <m/>
    <m/>
    <m/>
    <m/>
    <m/>
    <m/>
    <m/>
    <n v="0"/>
    <n v="0"/>
    <n v="0"/>
    <n v="0"/>
    <m/>
    <m/>
    <n v="0"/>
    <n v="0"/>
  </r>
  <r>
    <x v="12"/>
    <s v="Pellissippi State Technical Community College"/>
    <m/>
    <n v="221643"/>
    <x v="6"/>
    <s v="sem"/>
    <s v="sem"/>
    <m/>
    <m/>
    <n v="94444"/>
    <n v="100060"/>
    <n v="23288"/>
    <n v="25201"/>
    <n v="109115"/>
    <n v="111029"/>
    <n v="226847"/>
    <n v="7561.5666666666666"/>
    <n v="236290"/>
    <n v="7876.333333333333"/>
    <n v="5813"/>
    <n v="6884"/>
    <n v="226847"/>
    <n v="236290"/>
    <m/>
    <m/>
    <m/>
    <m/>
    <m/>
    <m/>
    <m/>
    <m/>
    <n v="0"/>
    <n v="0"/>
    <n v="0"/>
    <n v="0"/>
    <m/>
    <m/>
    <n v="0"/>
    <n v="0"/>
  </r>
  <r>
    <x v="12"/>
    <s v="Southwest Tennessee Community College"/>
    <m/>
    <n v="221485"/>
    <x v="6"/>
    <s v="sem"/>
    <s v="sem"/>
    <m/>
    <m/>
    <n v="120246"/>
    <n v="117785"/>
    <n v="42687"/>
    <n v="45229"/>
    <n v="126470"/>
    <n v="123233"/>
    <n v="289403"/>
    <n v="9646.7666666666664"/>
    <n v="286247"/>
    <n v="9541.5666666666675"/>
    <n v="1950"/>
    <n v="1611"/>
    <n v="289403"/>
    <n v="286247"/>
    <m/>
    <m/>
    <m/>
    <m/>
    <m/>
    <m/>
    <m/>
    <m/>
    <n v="0"/>
    <n v="0"/>
    <n v="0"/>
    <n v="0"/>
    <m/>
    <m/>
    <n v="0"/>
    <n v="0"/>
  </r>
  <r>
    <x v="12"/>
    <s v="Volunteer State Community College "/>
    <s v="Reclassified: Met the criteria for Two-year 1 in 2009-10, 2010-11, and 2011-12."/>
    <n v="222053"/>
    <x v="6"/>
    <s v="sem"/>
    <s v="sem"/>
    <m/>
    <m/>
    <n v="76402"/>
    <n v="76398"/>
    <n v="20419"/>
    <n v="19259"/>
    <n v="86654"/>
    <n v="81735"/>
    <n v="183475"/>
    <n v="6115.833333333333"/>
    <n v="177392"/>
    <n v="5913.0666666666666"/>
    <n v="9338"/>
    <n v="10522"/>
    <n v="183475"/>
    <n v="177392"/>
    <m/>
    <m/>
    <m/>
    <m/>
    <m/>
    <m/>
    <m/>
    <m/>
    <n v="0"/>
    <n v="0"/>
    <n v="0"/>
    <n v="0"/>
    <m/>
    <m/>
    <n v="0"/>
    <n v="0"/>
  </r>
  <r>
    <x v="12"/>
    <s v="Cleveland State Community College "/>
    <m/>
    <n v="219879"/>
    <x v="7"/>
    <s v="sem"/>
    <s v="sem"/>
    <m/>
    <m/>
    <n v="34942"/>
    <n v="35853"/>
    <n v="6115"/>
    <n v="6569"/>
    <n v="38877"/>
    <n v="39251"/>
    <n v="79934"/>
    <n v="2664.4666666666667"/>
    <n v="81673"/>
    <n v="2722.4333333333334"/>
    <n v="3523"/>
    <n v="3694"/>
    <n v="79934"/>
    <n v="81673"/>
    <m/>
    <m/>
    <m/>
    <m/>
    <m/>
    <m/>
    <m/>
    <m/>
    <n v="0"/>
    <n v="0"/>
    <n v="0"/>
    <n v="0"/>
    <m/>
    <m/>
    <n v="0"/>
    <n v="0"/>
  </r>
  <r>
    <x v="12"/>
    <s v="Columbia State Community College "/>
    <m/>
    <n v="219888"/>
    <x v="7"/>
    <s v="sem"/>
    <s v="sem"/>
    <m/>
    <m/>
    <n v="48645"/>
    <n v="49503"/>
    <n v="10926"/>
    <n v="10063"/>
    <n v="53689"/>
    <n v="51259"/>
    <n v="113260"/>
    <n v="3775.3333333333335"/>
    <n v="110825"/>
    <n v="3694.1666666666665"/>
    <n v="3893"/>
    <n v="4299"/>
    <n v="113260"/>
    <n v="110825"/>
    <m/>
    <m/>
    <m/>
    <m/>
    <m/>
    <m/>
    <m/>
    <m/>
    <n v="0"/>
    <n v="0"/>
    <n v="0"/>
    <n v="0"/>
    <m/>
    <m/>
    <n v="0"/>
    <n v="0"/>
  </r>
  <r>
    <x v="12"/>
    <s v="Dyersburg State Community College "/>
    <s v="Reclassified: Met the criteria for Two-year 2 in 2009-10, 2010-11, and 2011-12."/>
    <n v="220057"/>
    <x v="7"/>
    <s v="sem"/>
    <s v="sem"/>
    <m/>
    <m/>
    <n v="31663"/>
    <n v="32038"/>
    <n v="4778"/>
    <n v="4254"/>
    <n v="36290"/>
    <n v="35004"/>
    <n v="72731"/>
    <n v="2424.3666666666668"/>
    <n v="71296"/>
    <n v="2376.5333333333333"/>
    <n v="5354"/>
    <n v="6900"/>
    <n v="72731"/>
    <n v="71296"/>
    <m/>
    <m/>
    <m/>
    <m/>
    <m/>
    <m/>
    <m/>
    <m/>
    <n v="0"/>
    <n v="0"/>
    <n v="0"/>
    <n v="0"/>
    <m/>
    <m/>
    <n v="0"/>
    <n v="0"/>
  </r>
  <r>
    <x v="12"/>
    <s v="Jackson State Community College "/>
    <m/>
    <n v="220400"/>
    <x v="7"/>
    <s v="sem"/>
    <s v="sem"/>
    <m/>
    <m/>
    <n v="47836"/>
    <n v="46043"/>
    <n v="11798"/>
    <n v="10492"/>
    <n v="51152"/>
    <n v="48893"/>
    <n v="110786"/>
    <n v="3692.8666666666668"/>
    <n v="105428"/>
    <n v="3514.2666666666669"/>
    <n v="4509"/>
    <n v="4920"/>
    <n v="110786"/>
    <n v="105428"/>
    <m/>
    <m/>
    <m/>
    <m/>
    <m/>
    <m/>
    <m/>
    <m/>
    <n v="0"/>
    <n v="0"/>
    <n v="0"/>
    <n v="0"/>
    <m/>
    <m/>
    <n v="0"/>
    <n v="0"/>
  </r>
  <r>
    <x v="12"/>
    <s v="Motlow State Community College "/>
    <m/>
    <n v="221096"/>
    <x v="7"/>
    <s v="sem"/>
    <s v="sem"/>
    <m/>
    <m/>
    <n v="47308"/>
    <n v="44700"/>
    <n v="8458"/>
    <n v="8939"/>
    <n v="50050"/>
    <n v="46034"/>
    <n v="105816"/>
    <n v="3527.2"/>
    <n v="99673"/>
    <n v="3322.4333333333334"/>
    <n v="4763"/>
    <n v="5207"/>
    <n v="105816"/>
    <n v="99673"/>
    <m/>
    <m/>
    <m/>
    <m/>
    <m/>
    <m/>
    <m/>
    <m/>
    <n v="0"/>
    <n v="0"/>
    <n v="0"/>
    <n v="0"/>
    <m/>
    <m/>
    <n v="0"/>
    <n v="0"/>
  </r>
  <r>
    <x v="12"/>
    <s v="Northeast State Technical Community College"/>
    <m/>
    <n v="221908"/>
    <x v="7"/>
    <s v="sem"/>
    <s v="sem"/>
    <m/>
    <m/>
    <n v="59628"/>
    <n v="64441"/>
    <n v="14453"/>
    <n v="13266"/>
    <n v="69362"/>
    <n v="66339"/>
    <n v="143443"/>
    <n v="4781.4333333333334"/>
    <n v="144046"/>
    <n v="4801.5333333333338"/>
    <n v="2960"/>
    <n v="4114"/>
    <n v="143443"/>
    <n v="144046"/>
    <m/>
    <m/>
    <m/>
    <m/>
    <m/>
    <m/>
    <m/>
    <m/>
    <n v="0"/>
    <n v="0"/>
    <n v="0"/>
    <n v="0"/>
    <m/>
    <m/>
    <n v="0"/>
    <n v="0"/>
  </r>
  <r>
    <x v="12"/>
    <s v="Roane State Community College "/>
    <m/>
    <n v="221397"/>
    <x v="7"/>
    <s v="sem"/>
    <s v="sem"/>
    <m/>
    <m/>
    <n v="61362"/>
    <n v="63123"/>
    <n v="9645"/>
    <n v="9542"/>
    <n v="65842"/>
    <n v="63077"/>
    <n v="136849"/>
    <n v="4561.6333333333332"/>
    <n v="135742"/>
    <n v="4524.7333333333336"/>
    <n v="6716"/>
    <n v="8615"/>
    <n v="136849"/>
    <n v="135742"/>
    <m/>
    <m/>
    <m/>
    <m/>
    <m/>
    <m/>
    <m/>
    <m/>
    <n v="0"/>
    <n v="0"/>
    <n v="0"/>
    <n v="0"/>
    <m/>
    <m/>
    <n v="0"/>
    <n v="0"/>
  </r>
  <r>
    <x v="12"/>
    <s v="Walters State Community College "/>
    <m/>
    <n v="222062"/>
    <x v="7"/>
    <s v="sem"/>
    <s v="sem"/>
    <m/>
    <m/>
    <n v="65058"/>
    <n v="65479"/>
    <n v="11393"/>
    <n v="10622"/>
    <n v="72124"/>
    <n v="68930"/>
    <n v="148575"/>
    <n v="4952.5"/>
    <n v="145031"/>
    <n v="4834.3666666666668"/>
    <n v="6662"/>
    <n v="7563"/>
    <n v="148575"/>
    <n v="145031"/>
    <m/>
    <m/>
    <m/>
    <m/>
    <m/>
    <m/>
    <m/>
    <m/>
    <n v="0"/>
    <n v="0"/>
    <n v="0"/>
    <n v="0"/>
    <m/>
    <m/>
    <n v="0"/>
    <n v="0"/>
  </r>
  <r>
    <x v="12"/>
    <s v="Tennessee Technology Center at Athens"/>
    <m/>
    <n v="219596"/>
    <x v="10"/>
    <s v="sem"/>
    <s v="sem"/>
    <m/>
    <m/>
    <m/>
    <m/>
    <m/>
    <m/>
    <m/>
    <m/>
    <n v="0"/>
    <n v="0"/>
    <n v="0"/>
    <n v="0"/>
    <m/>
    <m/>
    <n v="0"/>
    <n v="0"/>
    <m/>
    <m/>
    <n v="93990"/>
    <n v="77484"/>
    <n v="91694"/>
    <n v="67456"/>
    <n v="81228"/>
    <n v="147712"/>
    <n v="266912"/>
    <n v="296.56888888888886"/>
    <n v="292652"/>
    <n v="325.16888888888889"/>
    <m/>
    <m/>
    <n v="0"/>
    <n v="0"/>
  </r>
  <r>
    <x v="12"/>
    <s v="Tennessee Technology Center at Chattanooga"/>
    <s v="Met the criteria for Technical Institute or College 1 in 2010-11 and 2011-12."/>
    <s v="219824B"/>
    <x v="10"/>
    <s v="sem"/>
    <s v="sem"/>
    <m/>
    <m/>
    <m/>
    <m/>
    <m/>
    <m/>
    <m/>
    <m/>
    <n v="0"/>
    <n v="0"/>
    <n v="0"/>
    <n v="0"/>
    <m/>
    <m/>
    <n v="0"/>
    <n v="0"/>
    <m/>
    <m/>
    <n v="354565"/>
    <n v="356303"/>
    <n v="206919"/>
    <n v="234404"/>
    <n v="379020"/>
    <n v="591004"/>
    <n v="940504"/>
    <n v="1045.0044444444445"/>
    <n v="1181711"/>
    <n v="1313.0122222222221"/>
    <m/>
    <m/>
    <n v="0"/>
    <n v="0"/>
  </r>
  <r>
    <x v="12"/>
    <s v="Tennessee Technology Center at Covington"/>
    <m/>
    <n v="219921"/>
    <x v="10"/>
    <s v="sem"/>
    <s v="sem"/>
    <m/>
    <m/>
    <m/>
    <m/>
    <m/>
    <m/>
    <m/>
    <m/>
    <n v="0"/>
    <n v="0"/>
    <n v="0"/>
    <n v="0"/>
    <m/>
    <m/>
    <n v="0"/>
    <n v="0"/>
    <m/>
    <m/>
    <n v="68475"/>
    <n v="57639"/>
    <n v="60735"/>
    <n v="49086"/>
    <n v="65996"/>
    <n v="108705"/>
    <n v="195206"/>
    <n v="216.89555555555555"/>
    <n v="215430"/>
    <n v="239.36666666666667"/>
    <m/>
    <m/>
    <n v="0"/>
    <n v="0"/>
  </r>
  <r>
    <x v="12"/>
    <s v="Tennessee Technology Center at Crossville"/>
    <m/>
    <n v="221591"/>
    <x v="10"/>
    <s v="sem"/>
    <s v="sem"/>
    <m/>
    <m/>
    <m/>
    <m/>
    <m/>
    <m/>
    <m/>
    <m/>
    <n v="0"/>
    <n v="0"/>
    <n v="0"/>
    <n v="0"/>
    <m/>
    <m/>
    <n v="0"/>
    <n v="0"/>
    <m/>
    <m/>
    <n v="140840"/>
    <n v="114661"/>
    <n v="110775"/>
    <n v="87519"/>
    <n v="113898"/>
    <n v="203044"/>
    <n v="365513"/>
    <n v="406.12555555555554"/>
    <n v="405224"/>
    <n v="450.24888888888887"/>
    <m/>
    <m/>
    <n v="0"/>
    <n v="0"/>
  </r>
  <r>
    <x v="12"/>
    <s v="Tennessee Technology Center at Crump"/>
    <m/>
    <n v="221430"/>
    <x v="10"/>
    <s v="sem"/>
    <s v="sem"/>
    <m/>
    <m/>
    <m/>
    <m/>
    <m/>
    <m/>
    <m/>
    <m/>
    <n v="0"/>
    <n v="0"/>
    <n v="0"/>
    <n v="0"/>
    <m/>
    <m/>
    <n v="0"/>
    <n v="0"/>
    <m/>
    <m/>
    <n v="102301"/>
    <n v="77512"/>
    <n v="85295"/>
    <n v="65429"/>
    <n v="93410"/>
    <n v="144921"/>
    <n v="281006"/>
    <n v="312.22888888888889"/>
    <n v="287862"/>
    <n v="319.84666666666669"/>
    <m/>
    <m/>
    <n v="0"/>
    <n v="0"/>
  </r>
  <r>
    <x v="12"/>
    <s v="Tennessee Technology Center at Dickson"/>
    <m/>
    <n v="219994"/>
    <x v="10"/>
    <s v="sem"/>
    <s v="sem"/>
    <m/>
    <m/>
    <m/>
    <m/>
    <m/>
    <m/>
    <m/>
    <m/>
    <n v="0"/>
    <n v="0"/>
    <n v="0"/>
    <n v="0"/>
    <m/>
    <m/>
    <n v="0"/>
    <n v="0"/>
    <m/>
    <m/>
    <n v="184311"/>
    <n v="177826"/>
    <n v="177369"/>
    <n v="161193"/>
    <n v="195566"/>
    <n v="341197"/>
    <n v="557246"/>
    <n v="619.16222222222223"/>
    <n v="680216"/>
    <n v="755.79555555555555"/>
    <m/>
    <m/>
    <n v="0"/>
    <n v="0"/>
  </r>
  <r>
    <x v="12"/>
    <s v="Tennessee Technology Center at Elizabethton"/>
    <m/>
    <n v="220127"/>
    <x v="10"/>
    <s v="sem"/>
    <s v="sem"/>
    <m/>
    <m/>
    <m/>
    <m/>
    <m/>
    <m/>
    <m/>
    <m/>
    <n v="0"/>
    <n v="0"/>
    <n v="0"/>
    <n v="0"/>
    <m/>
    <m/>
    <n v="0"/>
    <n v="0"/>
    <m/>
    <m/>
    <n v="175137"/>
    <n v="166940"/>
    <n v="168235"/>
    <n v="158091"/>
    <n v="175569"/>
    <n v="326028"/>
    <n v="518941"/>
    <n v="576.60111111111109"/>
    <n v="651059"/>
    <n v="723.39888888888891"/>
    <m/>
    <m/>
    <n v="0"/>
    <n v="0"/>
  </r>
  <r>
    <x v="12"/>
    <s v="Tennessee Technology Center at Harriman"/>
    <m/>
    <n v="220251"/>
    <x v="10"/>
    <s v="sem"/>
    <s v="sem"/>
    <m/>
    <m/>
    <m/>
    <m/>
    <m/>
    <m/>
    <m/>
    <m/>
    <n v="0"/>
    <n v="0"/>
    <n v="0"/>
    <n v="0"/>
    <m/>
    <m/>
    <n v="0"/>
    <n v="0"/>
    <m/>
    <m/>
    <n v="110613"/>
    <n v="100943"/>
    <n v="94914"/>
    <n v="69188"/>
    <n v="98017"/>
    <n v="173497"/>
    <n v="303544"/>
    <n v="337.27111111111111"/>
    <n v="343628"/>
    <n v="381.80888888888887"/>
    <m/>
    <m/>
    <n v="0"/>
    <n v="0"/>
  </r>
  <r>
    <x v="12"/>
    <s v="Tennessee Technology Center at Hartsville"/>
    <m/>
    <n v="220279"/>
    <x v="10"/>
    <s v="sem"/>
    <s v="sem"/>
    <m/>
    <m/>
    <m/>
    <m/>
    <m/>
    <m/>
    <m/>
    <m/>
    <n v="0"/>
    <n v="0"/>
    <n v="0"/>
    <n v="0"/>
    <m/>
    <m/>
    <n v="0"/>
    <n v="0"/>
    <m/>
    <m/>
    <n v="143959"/>
    <n v="142474"/>
    <n v="116475"/>
    <n v="97558"/>
    <n v="160221"/>
    <n v="240824"/>
    <n v="420655"/>
    <n v="467.39444444444445"/>
    <n v="480856"/>
    <n v="534.28444444444449"/>
    <m/>
    <m/>
    <n v="0"/>
    <n v="0"/>
  </r>
  <r>
    <x v="12"/>
    <s v="Tennessee Technology Center at Hohenwald"/>
    <m/>
    <n v="220321"/>
    <x v="10"/>
    <s v="sem"/>
    <s v="sem"/>
    <m/>
    <m/>
    <m/>
    <m/>
    <m/>
    <m/>
    <m/>
    <m/>
    <n v="0"/>
    <n v="0"/>
    <n v="0"/>
    <n v="0"/>
    <m/>
    <m/>
    <n v="0"/>
    <n v="0"/>
    <m/>
    <m/>
    <n v="170695"/>
    <n v="145278"/>
    <n v="157228"/>
    <n v="121653"/>
    <n v="150288"/>
    <n v="270990"/>
    <n v="478211"/>
    <n v="531.34555555555551"/>
    <n v="537921"/>
    <n v="597.69000000000005"/>
    <m/>
    <m/>
    <n v="0"/>
    <n v="0"/>
  </r>
  <r>
    <x v="12"/>
    <s v="Tennessee Technology Center at Jacksboro"/>
    <m/>
    <n v="220394"/>
    <x v="10"/>
    <s v="sem"/>
    <s v="sem"/>
    <m/>
    <m/>
    <m/>
    <m/>
    <m/>
    <m/>
    <m/>
    <m/>
    <n v="0"/>
    <n v="0"/>
    <n v="0"/>
    <n v="0"/>
    <m/>
    <m/>
    <n v="0"/>
    <n v="0"/>
    <m/>
    <m/>
    <n v="77282"/>
    <n v="61317"/>
    <n v="68114"/>
    <n v="55502"/>
    <n v="73227"/>
    <n v="118799"/>
    <n v="218623"/>
    <n v="242.91444444444446"/>
    <n v="235618"/>
    <n v="261.79777777777775"/>
    <m/>
    <m/>
    <n v="0"/>
    <n v="0"/>
  </r>
  <r>
    <x v="12"/>
    <s v="Tennessee Technology Center at Jackson"/>
    <m/>
    <n v="221616"/>
    <x v="10"/>
    <s v="sem"/>
    <s v="sem"/>
    <m/>
    <m/>
    <m/>
    <m/>
    <m/>
    <m/>
    <m/>
    <m/>
    <n v="0"/>
    <n v="0"/>
    <n v="0"/>
    <n v="0"/>
    <m/>
    <m/>
    <n v="0"/>
    <n v="0"/>
    <m/>
    <m/>
    <n v="216548"/>
    <n v="183294"/>
    <n v="204740"/>
    <n v="164025"/>
    <n v="213107"/>
    <n v="350685"/>
    <n v="634395"/>
    <n v="704.88333333333333"/>
    <n v="698004"/>
    <n v="775.56"/>
    <m/>
    <m/>
    <n v="0"/>
    <n v="0"/>
  </r>
  <r>
    <x v="12"/>
    <s v="Tennessee Technology Center at Knoxville"/>
    <m/>
    <n v="221625"/>
    <x v="10"/>
    <s v="sem"/>
    <s v="sem"/>
    <m/>
    <m/>
    <m/>
    <m/>
    <m/>
    <m/>
    <m/>
    <m/>
    <n v="0"/>
    <n v="0"/>
    <n v="0"/>
    <n v="0"/>
    <m/>
    <m/>
    <n v="0"/>
    <n v="0"/>
    <m/>
    <m/>
    <n v="236962"/>
    <n v="196747"/>
    <n v="221266"/>
    <n v="188863"/>
    <n v="206058"/>
    <n v="390305"/>
    <n v="664286"/>
    <n v="738.09555555555551"/>
    <n v="775915"/>
    <n v="862.12777777777774"/>
    <m/>
    <m/>
    <n v="0"/>
    <n v="0"/>
  </r>
  <r>
    <x v="12"/>
    <s v="Tennessee Technology Center at Livingston"/>
    <m/>
    <n v="220640"/>
    <x v="10"/>
    <s v="sem"/>
    <s v="sem"/>
    <m/>
    <m/>
    <m/>
    <m/>
    <m/>
    <m/>
    <m/>
    <m/>
    <n v="0"/>
    <n v="0"/>
    <n v="0"/>
    <n v="0"/>
    <m/>
    <m/>
    <n v="0"/>
    <n v="0"/>
    <m/>
    <m/>
    <n v="153101"/>
    <n v="135869"/>
    <n v="121487"/>
    <n v="99908"/>
    <n v="150660"/>
    <n v="237460"/>
    <n v="425248"/>
    <n v="472.4977777777778"/>
    <n v="473237"/>
    <n v="525.81888888888886"/>
    <m/>
    <m/>
    <n v="0"/>
    <n v="0"/>
  </r>
  <r>
    <x v="12"/>
    <s v="Tennessee Technology Center at McKenzie"/>
    <m/>
    <n v="220756"/>
    <x v="10"/>
    <s v="sem"/>
    <s v="sem"/>
    <m/>
    <m/>
    <m/>
    <m/>
    <m/>
    <m/>
    <m/>
    <m/>
    <n v="0"/>
    <n v="0"/>
    <n v="0"/>
    <n v="0"/>
    <m/>
    <m/>
    <n v="0"/>
    <n v="0"/>
    <m/>
    <m/>
    <n v="104995"/>
    <n v="73229"/>
    <n v="92644"/>
    <n v="61828"/>
    <n v="92111"/>
    <n v="138225"/>
    <n v="289750"/>
    <n v="321.94444444444446"/>
    <n v="273282"/>
    <n v="303.64666666666665"/>
    <m/>
    <m/>
    <n v="0"/>
    <n v="0"/>
  </r>
  <r>
    <x v="12"/>
    <s v="Tennessee Technology Center at McMinnville"/>
    <m/>
    <n v="221607"/>
    <x v="10"/>
    <s v="sem"/>
    <s v="sem"/>
    <m/>
    <m/>
    <m/>
    <m/>
    <m/>
    <m/>
    <m/>
    <m/>
    <n v="0"/>
    <n v="0"/>
    <n v="0"/>
    <n v="0"/>
    <m/>
    <m/>
    <n v="0"/>
    <n v="0"/>
    <m/>
    <m/>
    <n v="112897"/>
    <n v="85258"/>
    <n v="99591"/>
    <n v="82238"/>
    <n v="89870"/>
    <n v="168090"/>
    <n v="302358"/>
    <n v="335.95333333333332"/>
    <n v="335586"/>
    <n v="372.87333333333333"/>
    <m/>
    <m/>
    <n v="0"/>
    <n v="0"/>
  </r>
  <r>
    <x v="12"/>
    <s v="Tennessee Technology Center at Memphis"/>
    <s v="Met the criteria for Technical Institute or College 1 in 2011-12."/>
    <n v="220853"/>
    <x v="10"/>
    <s v="sem"/>
    <s v="sem"/>
    <m/>
    <m/>
    <m/>
    <m/>
    <m/>
    <m/>
    <m/>
    <m/>
    <n v="0"/>
    <n v="0"/>
    <n v="0"/>
    <n v="0"/>
    <m/>
    <m/>
    <n v="0"/>
    <n v="0"/>
    <m/>
    <m/>
    <n v="233450"/>
    <n v="266610"/>
    <n v="223816"/>
    <n v="251758"/>
    <n v="257396"/>
    <n v="520348"/>
    <n v="714662"/>
    <n v="794.06888888888886"/>
    <n v="1038716"/>
    <n v="1154.1288888888889"/>
    <m/>
    <m/>
    <n v="0"/>
    <n v="0"/>
  </r>
  <r>
    <x v="12"/>
    <s v="Tennessee Technology Center at Morristown"/>
    <m/>
    <n v="221050"/>
    <x v="10"/>
    <s v="sem"/>
    <s v="sem"/>
    <m/>
    <m/>
    <m/>
    <m/>
    <m/>
    <m/>
    <m/>
    <m/>
    <n v="0"/>
    <n v="0"/>
    <n v="0"/>
    <n v="0"/>
    <m/>
    <m/>
    <n v="0"/>
    <n v="0"/>
    <m/>
    <m/>
    <n v="225052"/>
    <n v="185104"/>
    <n v="197385"/>
    <n v="159218"/>
    <n v="204137"/>
    <n v="346674"/>
    <n v="626574"/>
    <n v="696.19333333333338"/>
    <n v="690996"/>
    <n v="767.77333333333331"/>
    <m/>
    <m/>
    <n v="0"/>
    <n v="0"/>
  </r>
  <r>
    <x v="12"/>
    <s v="Tennessee Technology Center at Murfreesboro"/>
    <m/>
    <n v="221102"/>
    <x v="10"/>
    <s v="sem"/>
    <s v="sem"/>
    <m/>
    <m/>
    <m/>
    <m/>
    <m/>
    <m/>
    <m/>
    <m/>
    <n v="0"/>
    <n v="0"/>
    <n v="0"/>
    <n v="0"/>
    <m/>
    <m/>
    <n v="0"/>
    <n v="0"/>
    <m/>
    <m/>
    <n v="155077"/>
    <n v="174185"/>
    <n v="148320"/>
    <n v="134883"/>
    <n v="153099"/>
    <n v="311529"/>
    <n v="456496"/>
    <n v="507.21777777777777"/>
    <n v="620597"/>
    <n v="689.55222222222221"/>
    <m/>
    <m/>
    <n v="0"/>
    <n v="0"/>
  </r>
  <r>
    <x v="12"/>
    <s v="Tennessee Technology Center at Nashville"/>
    <s v="Met the criteria for Technical Institute or College 1 in 2011-12."/>
    <n v="248925"/>
    <x v="10"/>
    <s v="sem"/>
    <s v="sem"/>
    <m/>
    <m/>
    <m/>
    <m/>
    <m/>
    <m/>
    <m/>
    <m/>
    <n v="0"/>
    <n v="0"/>
    <n v="0"/>
    <n v="0"/>
    <m/>
    <m/>
    <n v="0"/>
    <n v="0"/>
    <m/>
    <m/>
    <n v="267377"/>
    <n v="257568"/>
    <n v="247021"/>
    <n v="229722"/>
    <n v="269708"/>
    <n v="491349"/>
    <n v="784106"/>
    <n v="871.22888888888883"/>
    <n v="978639"/>
    <n v="1087.3766666666668"/>
    <m/>
    <m/>
    <n v="0"/>
    <n v="0"/>
  </r>
  <r>
    <x v="12"/>
    <s v="Tennessee Technology Center at Newbern"/>
    <m/>
    <n v="221236"/>
    <x v="10"/>
    <s v="sem"/>
    <s v="sem"/>
    <m/>
    <m/>
    <m/>
    <m/>
    <m/>
    <m/>
    <m/>
    <m/>
    <n v="0"/>
    <n v="0"/>
    <n v="0"/>
    <n v="0"/>
    <m/>
    <m/>
    <n v="0"/>
    <n v="0"/>
    <m/>
    <m/>
    <n v="102778"/>
    <n v="77916"/>
    <n v="82200"/>
    <n v="64752"/>
    <n v="89794"/>
    <n v="143757"/>
    <n v="274772"/>
    <n v="305.30222222222221"/>
    <n v="286425"/>
    <n v="318.25"/>
    <m/>
    <m/>
    <n v="0"/>
    <n v="0"/>
  </r>
  <r>
    <x v="12"/>
    <s v="Tennessee Technology Center at Oneida"/>
    <m/>
    <n v="221582"/>
    <x v="10"/>
    <s v="sem"/>
    <s v="sem"/>
    <m/>
    <m/>
    <m/>
    <m/>
    <m/>
    <m/>
    <m/>
    <m/>
    <n v="0"/>
    <n v="0"/>
    <n v="0"/>
    <n v="0"/>
    <m/>
    <m/>
    <n v="0"/>
    <n v="0"/>
    <m/>
    <m/>
    <n v="121020"/>
    <n v="116904"/>
    <n v="89549"/>
    <n v="75489"/>
    <n v="122845"/>
    <n v="193680"/>
    <n v="333414"/>
    <n v="370.46"/>
    <n v="386073"/>
    <n v="428.97"/>
    <m/>
    <m/>
    <n v="0"/>
    <n v="0"/>
  </r>
  <r>
    <x v="12"/>
    <s v="Tennessee Technology Center at Paris"/>
    <m/>
    <n v="221281"/>
    <x v="10"/>
    <s v="sem"/>
    <s v="sem"/>
    <m/>
    <m/>
    <m/>
    <m/>
    <m/>
    <m/>
    <m/>
    <m/>
    <n v="0"/>
    <n v="0"/>
    <n v="0"/>
    <n v="0"/>
    <m/>
    <m/>
    <n v="0"/>
    <n v="0"/>
    <m/>
    <m/>
    <n v="119556"/>
    <n v="103602"/>
    <n v="115400"/>
    <n v="91638"/>
    <n v="120685"/>
    <n v="198606"/>
    <n v="355641"/>
    <n v="395.15666666666669"/>
    <n v="393846"/>
    <n v="437.60666666666668"/>
    <m/>
    <m/>
    <n v="0"/>
    <n v="0"/>
  </r>
  <r>
    <x v="12"/>
    <s v="Tennessee Technology Center at Pulaski"/>
    <m/>
    <n v="221333"/>
    <x v="10"/>
    <s v="sem"/>
    <s v="sem"/>
    <m/>
    <m/>
    <m/>
    <m/>
    <m/>
    <m/>
    <m/>
    <m/>
    <n v="0"/>
    <n v="0"/>
    <n v="0"/>
    <n v="0"/>
    <m/>
    <m/>
    <n v="0"/>
    <n v="0"/>
    <m/>
    <m/>
    <n v="232952"/>
    <n v="167365"/>
    <n v="157834"/>
    <n v="74065"/>
    <n v="203201"/>
    <n v="241826"/>
    <n v="593987"/>
    <n v="659.98555555555561"/>
    <n v="483256"/>
    <n v="536.95111111111112"/>
    <m/>
    <m/>
    <n v="0"/>
    <n v="0"/>
  </r>
  <r>
    <x v="12"/>
    <s v="Tennessee Technology Center at Ripley"/>
    <m/>
    <n v="221388"/>
    <x v="10"/>
    <s v="sem"/>
    <s v="sem"/>
    <m/>
    <m/>
    <m/>
    <m/>
    <m/>
    <m/>
    <m/>
    <m/>
    <n v="0"/>
    <n v="0"/>
    <n v="0"/>
    <n v="0"/>
    <m/>
    <m/>
    <n v="0"/>
    <n v="0"/>
    <m/>
    <m/>
    <n v="74414"/>
    <n v="58840"/>
    <n v="60615"/>
    <n v="50002"/>
    <n v="68498"/>
    <n v="109238"/>
    <n v="203527"/>
    <n v="226.14111111111112"/>
    <n v="218080"/>
    <n v="242.3111111111111"/>
    <m/>
    <m/>
    <n v="0"/>
    <n v="0"/>
  </r>
  <r>
    <x v="12"/>
    <s v="Tennessee Technology Center at Shelbyville"/>
    <m/>
    <n v="221494"/>
    <x v="10"/>
    <s v="sem"/>
    <s v="sem"/>
    <m/>
    <m/>
    <m/>
    <m/>
    <m/>
    <m/>
    <m/>
    <m/>
    <n v="0"/>
    <n v="0"/>
    <n v="0"/>
    <n v="0"/>
    <m/>
    <m/>
    <n v="0"/>
    <n v="0"/>
    <m/>
    <m/>
    <n v="199142"/>
    <n v="155729"/>
    <n v="185014"/>
    <n v="144143"/>
    <n v="162360"/>
    <n v="302135"/>
    <n v="546516"/>
    <n v="607.24"/>
    <n v="602007"/>
    <n v="668.89666666666665"/>
    <m/>
    <m/>
    <n v="0"/>
    <n v="0"/>
  </r>
  <r>
    <x v="12"/>
    <s v="Tennessee Technology Center at Whiteville"/>
    <m/>
    <n v="221634"/>
    <x v="10"/>
    <s v="sem"/>
    <s v="sem"/>
    <m/>
    <m/>
    <m/>
    <m/>
    <m/>
    <m/>
    <m/>
    <m/>
    <n v="0"/>
    <n v="0"/>
    <n v="0"/>
    <n v="0"/>
    <m/>
    <m/>
    <n v="0"/>
    <n v="0"/>
    <m/>
    <m/>
    <n v="65932"/>
    <n v="62782"/>
    <n v="65208"/>
    <n v="54946"/>
    <n v="66464"/>
    <n v="118715"/>
    <n v="197604"/>
    <n v="219.56"/>
    <n v="236443"/>
    <n v="262.71444444444444"/>
    <m/>
    <m/>
    <n v="0"/>
    <n v="0"/>
  </r>
  <r>
    <x v="13"/>
    <s v="Texas A&amp;M University "/>
    <m/>
    <n v="228723"/>
    <x v="0"/>
    <s v="sem"/>
    <s v="sem"/>
    <m/>
    <m/>
    <n v="476016"/>
    <n v="482895"/>
    <n v="71205"/>
    <n v="69004"/>
    <n v="516377"/>
    <n v="526750"/>
    <n v="1063598"/>
    <n v="35453.26666666667"/>
    <n v="1078649"/>
    <n v="35954.966666666667"/>
    <n v="0"/>
    <n v="0"/>
    <n v="1063598"/>
    <n v="1078649"/>
    <m/>
    <m/>
    <m/>
    <m/>
    <m/>
    <m/>
    <m/>
    <m/>
    <n v="0"/>
    <n v="0"/>
    <n v="0"/>
    <n v="0"/>
    <m/>
    <m/>
    <n v="0"/>
    <n v="0"/>
  </r>
  <r>
    <x v="13"/>
    <s v="Texas Tech University "/>
    <m/>
    <n v="229115"/>
    <x v="0"/>
    <s v="sem"/>
    <s v="sem"/>
    <m/>
    <m/>
    <n v="294893"/>
    <n v="307954"/>
    <n v="56327"/>
    <n v="56185"/>
    <n v="337912"/>
    <n v="339414"/>
    <n v="689132"/>
    <n v="22971.066666666666"/>
    <n v="703553"/>
    <n v="23451.766666666666"/>
    <n v="0"/>
    <n v="0"/>
    <n v="689132"/>
    <n v="703553"/>
    <m/>
    <m/>
    <m/>
    <m/>
    <m/>
    <m/>
    <m/>
    <m/>
    <n v="0"/>
    <n v="0"/>
    <n v="0"/>
    <n v="0"/>
    <m/>
    <m/>
    <n v="0"/>
    <n v="0"/>
  </r>
  <r>
    <x v="13"/>
    <s v="University of Houston"/>
    <m/>
    <n v="225511"/>
    <x v="0"/>
    <s v="sem"/>
    <s v="sem"/>
    <m/>
    <m/>
    <n v="321243"/>
    <n v="342055"/>
    <n v="62486"/>
    <n v="59414"/>
    <n v="357809"/>
    <n v="371406"/>
    <n v="741538"/>
    <n v="24717.933333333334"/>
    <n v="772875"/>
    <n v="25762.5"/>
    <n v="36"/>
    <n v="42"/>
    <n v="741538"/>
    <n v="772875"/>
    <m/>
    <m/>
    <m/>
    <m/>
    <m/>
    <m/>
    <m/>
    <m/>
    <n v="0"/>
    <n v="0"/>
    <n v="0"/>
    <n v="0"/>
    <m/>
    <m/>
    <n v="0"/>
    <n v="0"/>
  </r>
  <r>
    <x v="13"/>
    <s v="University of North Texas"/>
    <m/>
    <n v="227216"/>
    <x v="0"/>
    <s v="sem"/>
    <s v="sem"/>
    <m/>
    <m/>
    <n v="315379"/>
    <n v="322161"/>
    <n v="82427"/>
    <n v="78715"/>
    <n v="347531"/>
    <n v="348202"/>
    <n v="745337"/>
    <n v="24844.566666666666"/>
    <n v="749078"/>
    <n v="24969.266666666666"/>
    <n v="0"/>
    <n v="9"/>
    <n v="745337"/>
    <n v="749078"/>
    <m/>
    <m/>
    <m/>
    <m/>
    <m/>
    <m/>
    <m/>
    <m/>
    <n v="0"/>
    <n v="0"/>
    <n v="0"/>
    <n v="0"/>
    <m/>
    <m/>
    <n v="0"/>
    <n v="0"/>
  </r>
  <r>
    <x v="13"/>
    <s v="University of Texas at Arlington"/>
    <m/>
    <n v="228769"/>
    <x v="0"/>
    <s v="sem"/>
    <s v="sem"/>
    <m/>
    <m/>
    <n v="238827"/>
    <n v="276224"/>
    <n v="77088"/>
    <n v="92280"/>
    <n v="260580"/>
    <n v="266722"/>
    <n v="576495"/>
    <n v="19216.5"/>
    <n v="635226"/>
    <n v="21174.2"/>
    <n v="7094"/>
    <n v="5900"/>
    <n v="576495"/>
    <n v="635226"/>
    <m/>
    <m/>
    <m/>
    <m/>
    <m/>
    <m/>
    <m/>
    <m/>
    <n v="0"/>
    <n v="0"/>
    <n v="0"/>
    <n v="0"/>
    <m/>
    <m/>
    <n v="0"/>
    <n v="0"/>
  </r>
  <r>
    <x v="13"/>
    <s v="University of Texas at Austin"/>
    <m/>
    <n v="228778"/>
    <x v="0"/>
    <s v="sem"/>
    <s v="sem"/>
    <m/>
    <m/>
    <n v="468870"/>
    <n v="473427"/>
    <n v="63187"/>
    <n v="63032"/>
    <n v="505648"/>
    <n v="507622"/>
    <n v="1037705"/>
    <n v="34590.166666666664"/>
    <n v="1044081"/>
    <n v="34802.699999999997"/>
    <n v="0"/>
    <n v="0"/>
    <n v="1037705"/>
    <n v="1044081"/>
    <m/>
    <m/>
    <m/>
    <m/>
    <m/>
    <m/>
    <m/>
    <m/>
    <n v="0"/>
    <n v="0"/>
    <n v="0"/>
    <n v="0"/>
    <m/>
    <m/>
    <n v="0"/>
    <n v="0"/>
  </r>
  <r>
    <x v="13"/>
    <s v="University of Texas at Dallas"/>
    <m/>
    <n v="228787"/>
    <x v="0"/>
    <s v="sem"/>
    <s v="sem"/>
    <m/>
    <m/>
    <n v="114089"/>
    <n v="124322"/>
    <n v="21808"/>
    <n v="21405"/>
    <n v="132333"/>
    <n v="147398"/>
    <n v="268230"/>
    <n v="8941"/>
    <n v="293125"/>
    <n v="9770.8333333333339"/>
    <n v="0"/>
    <n v="0"/>
    <n v="268230"/>
    <n v="293125"/>
    <m/>
    <m/>
    <m/>
    <m/>
    <m/>
    <m/>
    <m/>
    <m/>
    <n v="0"/>
    <n v="0"/>
    <n v="0"/>
    <n v="0"/>
    <m/>
    <m/>
    <n v="0"/>
    <n v="0"/>
  </r>
  <r>
    <x v="13"/>
    <s v="Texas Woman's University"/>
    <s v="Met the criteria for Four-Year 1 in 2010-11 and 2011-12."/>
    <n v="229179"/>
    <x v="1"/>
    <s v="sem"/>
    <s v="sem"/>
    <m/>
    <m/>
    <n v="85897"/>
    <n v="93769"/>
    <n v="22998"/>
    <n v="22813"/>
    <n v="98973"/>
    <n v="104993"/>
    <n v="207868"/>
    <n v="6928.9333333333334"/>
    <n v="221575"/>
    <n v="7385.833333333333"/>
    <n v="0"/>
    <n v="0"/>
    <n v="207868"/>
    <n v="221575"/>
    <m/>
    <m/>
    <m/>
    <m/>
    <m/>
    <m/>
    <m/>
    <m/>
    <n v="0"/>
    <n v="0"/>
    <n v="0"/>
    <n v="0"/>
    <m/>
    <m/>
    <n v="0"/>
    <n v="0"/>
  </r>
  <r>
    <x v="13"/>
    <s v="University of Texas at El Paso"/>
    <m/>
    <n v="228796"/>
    <x v="1"/>
    <s v="sem"/>
    <s v="sem"/>
    <m/>
    <m/>
    <n v="182174"/>
    <n v="192515"/>
    <n v="53109"/>
    <n v="56925"/>
    <n v="200640"/>
    <n v="208966"/>
    <n v="435923"/>
    <n v="14530.766666666666"/>
    <n v="458406"/>
    <n v="15280.2"/>
    <n v="916"/>
    <n v="495"/>
    <n v="435923"/>
    <n v="458406"/>
    <m/>
    <m/>
    <m/>
    <m/>
    <m/>
    <m/>
    <m/>
    <m/>
    <n v="0"/>
    <n v="0"/>
    <n v="0"/>
    <n v="0"/>
    <m/>
    <m/>
    <n v="0"/>
    <n v="0"/>
  </r>
  <r>
    <x v="13"/>
    <s v="University of Texas at San Antonio"/>
    <m/>
    <n v="229027"/>
    <x v="1"/>
    <s v="sem"/>
    <s v="sem"/>
    <m/>
    <m/>
    <n v="270105"/>
    <n v="278553"/>
    <n v="57403"/>
    <n v="58082"/>
    <n v="304271"/>
    <n v="316003"/>
    <n v="631779"/>
    <n v="21059.3"/>
    <n v="652638"/>
    <n v="21754.6"/>
    <n v="3802"/>
    <n v="726"/>
    <n v="631779"/>
    <n v="652638"/>
    <m/>
    <m/>
    <m/>
    <m/>
    <m/>
    <m/>
    <m/>
    <m/>
    <n v="0"/>
    <n v="0"/>
    <n v="0"/>
    <n v="0"/>
    <m/>
    <m/>
    <n v="0"/>
    <n v="0"/>
  </r>
  <r>
    <x v="13"/>
    <s v="Angelo State University"/>
    <m/>
    <n v="222831"/>
    <x v="2"/>
    <s v="sem"/>
    <s v="sem"/>
    <m/>
    <m/>
    <n v="63208"/>
    <n v="65927"/>
    <n v="13641"/>
    <n v="12312"/>
    <n v="73435"/>
    <n v="73820"/>
    <n v="150284"/>
    <n v="5009.4666666666662"/>
    <n v="152059"/>
    <n v="5068.6333333333332"/>
    <n v="220"/>
    <n v="411"/>
    <n v="150284"/>
    <n v="152059"/>
    <m/>
    <m/>
    <m/>
    <m/>
    <m/>
    <m/>
    <m/>
    <m/>
    <n v="0"/>
    <n v="0"/>
    <n v="0"/>
    <n v="0"/>
    <m/>
    <m/>
    <n v="0"/>
    <n v="0"/>
  </r>
  <r>
    <x v="13"/>
    <s v="Lamar University"/>
    <m/>
    <n v="226091"/>
    <x v="2"/>
    <s v="sem"/>
    <s v="sem"/>
    <m/>
    <m/>
    <n v="98529"/>
    <n v="100855"/>
    <n v="24935"/>
    <n v="27853"/>
    <n v="108717"/>
    <n v="111067"/>
    <n v="232181"/>
    <n v="7739.3666666666668"/>
    <n v="239775"/>
    <n v="7992.5"/>
    <n v="2973"/>
    <n v="3546"/>
    <n v="232181"/>
    <n v="239775"/>
    <m/>
    <m/>
    <m/>
    <m/>
    <m/>
    <m/>
    <m/>
    <m/>
    <n v="0"/>
    <n v="0"/>
    <n v="0"/>
    <n v="0"/>
    <m/>
    <m/>
    <n v="0"/>
    <n v="0"/>
  </r>
  <r>
    <x v="13"/>
    <s v="Midwestern State University"/>
    <m/>
    <n v="226833"/>
    <x v="2"/>
    <s v="sem"/>
    <s v="sem"/>
    <m/>
    <m/>
    <n v="60085"/>
    <n v="61553"/>
    <n v="15891"/>
    <n v="15083"/>
    <n v="65816"/>
    <n v="62216"/>
    <n v="141792"/>
    <n v="4726.3999999999996"/>
    <n v="138852"/>
    <n v="4628.3999999999996"/>
    <n v="172"/>
    <n v="144"/>
    <n v="141792"/>
    <n v="138852"/>
    <m/>
    <m/>
    <m/>
    <m/>
    <m/>
    <m/>
    <m/>
    <m/>
    <n v="0"/>
    <n v="0"/>
    <n v="0"/>
    <n v="0"/>
    <m/>
    <m/>
    <n v="0"/>
    <n v="0"/>
  </r>
  <r>
    <x v="13"/>
    <s v="Prairie View A&amp;M University"/>
    <m/>
    <n v="227526"/>
    <x v="2"/>
    <s v="sem"/>
    <s v="sem"/>
    <m/>
    <m/>
    <n v="78714"/>
    <n v="81756"/>
    <n v="12852"/>
    <n v="11817"/>
    <n v="91324"/>
    <n v="87342"/>
    <n v="182890"/>
    <n v="6096.333333333333"/>
    <n v="180915"/>
    <n v="6030.5"/>
    <n v="0"/>
    <n v="0"/>
    <n v="182890"/>
    <n v="180915"/>
    <m/>
    <m/>
    <m/>
    <m/>
    <m/>
    <m/>
    <m/>
    <m/>
    <n v="0"/>
    <n v="0"/>
    <n v="0"/>
    <n v="0"/>
    <m/>
    <m/>
    <n v="0"/>
    <n v="0"/>
  </r>
  <r>
    <x v="13"/>
    <s v="Sam Houston State University "/>
    <m/>
    <n v="227881"/>
    <x v="2"/>
    <s v="sem"/>
    <s v="sem"/>
    <m/>
    <m/>
    <n v="171757"/>
    <n v="177518"/>
    <n v="39803"/>
    <n v="37775"/>
    <n v="189475"/>
    <n v="188617"/>
    <n v="401035"/>
    <n v="13367.833333333334"/>
    <n v="403910"/>
    <n v="13463.666666666666"/>
    <n v="0"/>
    <n v="0"/>
    <n v="401035"/>
    <n v="403910"/>
    <m/>
    <m/>
    <m/>
    <m/>
    <m/>
    <m/>
    <m/>
    <m/>
    <n v="0"/>
    <n v="0"/>
    <n v="0"/>
    <n v="0"/>
    <m/>
    <m/>
    <n v="0"/>
    <n v="0"/>
  </r>
  <r>
    <x v="13"/>
    <s v="Stephen F. Austin State University"/>
    <m/>
    <n v="228431"/>
    <x v="2"/>
    <s v="sem"/>
    <s v="sem"/>
    <m/>
    <m/>
    <n v="132130"/>
    <n v="130422"/>
    <n v="30945"/>
    <n v="29504"/>
    <n v="141614"/>
    <n v="142610"/>
    <n v="304689"/>
    <n v="10156.299999999999"/>
    <n v="302536"/>
    <n v="10084.533333333333"/>
    <n v="1947"/>
    <n v="1909"/>
    <n v="304689"/>
    <n v="302536"/>
    <m/>
    <m/>
    <m/>
    <m/>
    <m/>
    <m/>
    <m/>
    <m/>
    <n v="0"/>
    <n v="0"/>
    <n v="0"/>
    <n v="0"/>
    <m/>
    <m/>
    <n v="0"/>
    <n v="0"/>
  </r>
  <r>
    <x v="13"/>
    <s v="Sul Ross State University "/>
    <m/>
    <n v="228501"/>
    <x v="2"/>
    <s v="sem"/>
    <s v="sem"/>
    <m/>
    <m/>
    <n v="15822"/>
    <n v="16529"/>
    <n v="3102"/>
    <n v="2873"/>
    <n v="18002"/>
    <n v="18435"/>
    <n v="36926"/>
    <n v="1230.8666666666666"/>
    <n v="37837"/>
    <n v="1261.2333333333333"/>
    <n v="865"/>
    <n v="784"/>
    <n v="36926"/>
    <n v="37837"/>
    <m/>
    <m/>
    <m/>
    <m/>
    <m/>
    <m/>
    <m/>
    <m/>
    <n v="0"/>
    <n v="0"/>
    <n v="0"/>
    <n v="0"/>
    <m/>
    <m/>
    <n v="0"/>
    <n v="0"/>
  </r>
  <r>
    <x v="13"/>
    <s v="Tarleton State University"/>
    <m/>
    <n v="228529"/>
    <x v="2"/>
    <s v="sem"/>
    <s v="sem"/>
    <m/>
    <m/>
    <n v="80717"/>
    <n v="86497"/>
    <n v="21524"/>
    <n v="23214"/>
    <n v="93967"/>
    <n v="101496"/>
    <n v="196208"/>
    <n v="6540.2666666666664"/>
    <n v="211207"/>
    <n v="7040.2333333333336"/>
    <n v="0"/>
    <n v="0"/>
    <n v="196208"/>
    <n v="211207"/>
    <m/>
    <m/>
    <m/>
    <m/>
    <m/>
    <m/>
    <m/>
    <m/>
    <n v="0"/>
    <n v="0"/>
    <n v="0"/>
    <n v="0"/>
    <m/>
    <m/>
    <n v="0"/>
    <n v="0"/>
  </r>
  <r>
    <x v="13"/>
    <s v="Texas A&amp;M International University"/>
    <m/>
    <n v="226152"/>
    <x v="2"/>
    <s v="sem"/>
    <s v="sem"/>
    <m/>
    <m/>
    <n v="54326"/>
    <n v="59699"/>
    <n v="16808"/>
    <n v="16480"/>
    <n v="61902"/>
    <n v="64682"/>
    <n v="133036"/>
    <n v="4434.5333333333338"/>
    <n v="140861"/>
    <n v="4695.3666666666668"/>
    <n v="8476"/>
    <n v="8904"/>
    <n v="133036"/>
    <n v="140861"/>
    <m/>
    <m/>
    <m/>
    <m/>
    <m/>
    <m/>
    <m/>
    <m/>
    <n v="0"/>
    <n v="0"/>
    <n v="0"/>
    <n v="0"/>
    <m/>
    <m/>
    <n v="0"/>
    <n v="0"/>
  </r>
  <r>
    <x v="13"/>
    <s v="Texas A&amp;M University-Commerce"/>
    <m/>
    <n v="224554"/>
    <x v="2"/>
    <s v="sem"/>
    <s v="sem"/>
    <m/>
    <m/>
    <n v="60923"/>
    <n v="70278"/>
    <n v="16452"/>
    <n v="16936"/>
    <n v="71753"/>
    <n v="77029"/>
    <n v="149128"/>
    <n v="4970.9333333333334"/>
    <n v="164243"/>
    <n v="5474.7666666666664"/>
    <n v="582"/>
    <n v="1131"/>
    <n v="149128"/>
    <n v="164243"/>
    <m/>
    <m/>
    <m/>
    <m/>
    <m/>
    <m/>
    <m/>
    <m/>
    <n v="0"/>
    <n v="0"/>
    <n v="0"/>
    <n v="0"/>
    <m/>
    <m/>
    <n v="0"/>
    <n v="0"/>
  </r>
  <r>
    <x v="13"/>
    <s v="Texas A&amp;M University-Corpus Christi "/>
    <m/>
    <n v="224147"/>
    <x v="2"/>
    <s v="sem"/>
    <s v="sem"/>
    <m/>
    <m/>
    <n v="86466"/>
    <n v="91746"/>
    <n v="25254"/>
    <n v="26511"/>
    <n v="99148"/>
    <n v="101133"/>
    <n v="210868"/>
    <n v="7028.9333333333334"/>
    <n v="219390"/>
    <n v="7313"/>
    <n v="3"/>
    <n v="1388"/>
    <n v="210868"/>
    <n v="219390"/>
    <m/>
    <m/>
    <m/>
    <m/>
    <m/>
    <m/>
    <m/>
    <m/>
    <n v="0"/>
    <n v="0"/>
    <n v="0"/>
    <n v="0"/>
    <m/>
    <m/>
    <n v="0"/>
    <n v="0"/>
  </r>
  <r>
    <x v="13"/>
    <s v="Texas A&amp;M University-Kingsville"/>
    <m/>
    <n v="228705"/>
    <x v="2"/>
    <s v="sem"/>
    <s v="sem"/>
    <m/>
    <m/>
    <n v="53523"/>
    <n v="59321"/>
    <n v="11811"/>
    <n v="12071"/>
    <n v="65913"/>
    <n v="68663"/>
    <n v="131247"/>
    <n v="4374.8999999999996"/>
    <n v="140055"/>
    <n v="4668.5"/>
    <n v="911"/>
    <n v="2469"/>
    <n v="131247"/>
    <n v="140055"/>
    <m/>
    <m/>
    <m/>
    <m/>
    <m/>
    <m/>
    <m/>
    <m/>
    <n v="0"/>
    <n v="0"/>
    <n v="0"/>
    <n v="0"/>
    <m/>
    <m/>
    <n v="0"/>
    <n v="0"/>
  </r>
  <r>
    <x v="13"/>
    <s v="Texas Southern University "/>
    <m/>
    <n v="229063"/>
    <x v="2"/>
    <s v="sem"/>
    <s v="sem"/>
    <m/>
    <m/>
    <n v="83704"/>
    <n v="79547"/>
    <n v="15919"/>
    <n v="15051"/>
    <n v="88692"/>
    <n v="86507"/>
    <n v="188315"/>
    <n v="6277.166666666667"/>
    <n v="181105"/>
    <n v="6036.833333333333"/>
    <n v="0"/>
    <n v="0"/>
    <n v="188315"/>
    <n v="181105"/>
    <m/>
    <m/>
    <m/>
    <m/>
    <m/>
    <m/>
    <m/>
    <m/>
    <n v="0"/>
    <n v="0"/>
    <n v="0"/>
    <n v="0"/>
    <m/>
    <m/>
    <n v="0"/>
    <n v="0"/>
  </r>
  <r>
    <x v="13"/>
    <s v="Texas State University-San Marcos"/>
    <m/>
    <n v="228459"/>
    <x v="2"/>
    <s v="sem"/>
    <s v="sem"/>
    <m/>
    <m/>
    <n v="301995"/>
    <n v="321170"/>
    <n v="66128"/>
    <n v="66826"/>
    <n v="343769"/>
    <n v="360420"/>
    <n v="711892"/>
    <n v="23729.733333333334"/>
    <n v="748416"/>
    <n v="24947.200000000001"/>
    <n v="0"/>
    <n v="0"/>
    <n v="711892"/>
    <n v="748416"/>
    <m/>
    <m/>
    <m/>
    <m/>
    <m/>
    <m/>
    <m/>
    <m/>
    <n v="0"/>
    <n v="0"/>
    <n v="0"/>
    <n v="0"/>
    <m/>
    <m/>
    <n v="0"/>
    <n v="0"/>
  </r>
  <r>
    <x v="13"/>
    <s v="University of Houston-Clear Lake "/>
    <m/>
    <n v="225414"/>
    <x v="2"/>
    <s v="sem"/>
    <s v="sem"/>
    <m/>
    <m/>
    <n v="43103"/>
    <n v="45981"/>
    <n v="14695"/>
    <n v="14140"/>
    <n v="45702"/>
    <n v="46189"/>
    <n v="103500"/>
    <n v="3450"/>
    <n v="106310"/>
    <n v="3543.6666666666665"/>
    <n v="0"/>
    <n v="0"/>
    <n v="103500"/>
    <n v="106310"/>
    <m/>
    <m/>
    <m/>
    <m/>
    <m/>
    <m/>
    <m/>
    <m/>
    <n v="0"/>
    <n v="0"/>
    <n v="0"/>
    <n v="0"/>
    <m/>
    <m/>
    <n v="0"/>
    <n v="0"/>
  </r>
  <r>
    <x v="13"/>
    <s v="University of Texas at Brownsville"/>
    <m/>
    <n v="227377"/>
    <x v="2"/>
    <s v="sem"/>
    <s v="sem"/>
    <m/>
    <m/>
    <n v="37074"/>
    <n v="38999"/>
    <n v="12864"/>
    <n v="12697"/>
    <n v="46743"/>
    <n v="51008"/>
    <n v="96681"/>
    <n v="3222.7"/>
    <n v="102704"/>
    <n v="3423.4666666666667"/>
    <n v="6913"/>
    <n v="7547"/>
    <n v="96681"/>
    <n v="102704"/>
    <m/>
    <m/>
    <m/>
    <m/>
    <m/>
    <m/>
    <m/>
    <m/>
    <n v="0"/>
    <n v="0"/>
    <n v="0"/>
    <n v="0"/>
    <m/>
    <m/>
    <n v="0"/>
    <n v="0"/>
  </r>
  <r>
    <x v="13"/>
    <s v="University of Texas at Tyler"/>
    <m/>
    <n v="228802"/>
    <x v="2"/>
    <s v="sem"/>
    <s v="sem"/>
    <m/>
    <m/>
    <n v="56572"/>
    <n v="56557"/>
    <n v="8002"/>
    <n v="8668"/>
    <n v="60461"/>
    <n v="61301"/>
    <n v="125035"/>
    <n v="4167.833333333333"/>
    <n v="126526"/>
    <n v="4217.5333333333338"/>
    <n v="0"/>
    <n v="0"/>
    <n v="125035"/>
    <n v="126526"/>
    <m/>
    <m/>
    <m/>
    <m/>
    <m/>
    <m/>
    <m/>
    <m/>
    <n v="0"/>
    <n v="0"/>
    <n v="0"/>
    <n v="0"/>
    <m/>
    <m/>
    <n v="0"/>
    <n v="0"/>
  </r>
  <r>
    <x v="13"/>
    <s v="University of Texas of the Permian Basin"/>
    <s v="Reclassified: Met the criteria for Four-Year 3 in 2009-10, 2010-11 and 2011-12."/>
    <n v="229018"/>
    <x v="2"/>
    <s v="sem"/>
    <s v="sem"/>
    <m/>
    <m/>
    <n v="30827"/>
    <n v="33947"/>
    <n v="6945"/>
    <n v="7048"/>
    <n v="36240"/>
    <n v="35149"/>
    <n v="74012"/>
    <n v="2467.0666666666666"/>
    <n v="76144"/>
    <n v="2538.1333333333332"/>
    <n v="2679"/>
    <n v="3182"/>
    <n v="74012"/>
    <n v="76144"/>
    <m/>
    <m/>
    <m/>
    <m/>
    <m/>
    <m/>
    <m/>
    <m/>
    <n v="0"/>
    <n v="0"/>
    <n v="0"/>
    <n v="0"/>
    <m/>
    <m/>
    <n v="0"/>
    <n v="0"/>
  </r>
  <r>
    <x v="13"/>
    <s v="University of Texas-Pan American"/>
    <m/>
    <n v="227368"/>
    <x v="2"/>
    <s v="sem"/>
    <s v="sem"/>
    <m/>
    <m/>
    <n v="169654"/>
    <n v="172535"/>
    <n v="75680"/>
    <n v="71749"/>
    <n v="187489"/>
    <n v="190475"/>
    <n v="432823"/>
    <n v="14427.433333333332"/>
    <n v="434759"/>
    <n v="14491.966666666667"/>
    <n v="5431"/>
    <n v="4352"/>
    <n v="432823"/>
    <n v="434759"/>
    <m/>
    <m/>
    <m/>
    <m/>
    <m/>
    <m/>
    <m/>
    <m/>
    <n v="0"/>
    <n v="0"/>
    <n v="0"/>
    <n v="0"/>
    <m/>
    <m/>
    <n v="0"/>
    <n v="0"/>
  </r>
  <r>
    <x v="13"/>
    <s v="West Texas A&amp;M University"/>
    <m/>
    <n v="229814"/>
    <x v="2"/>
    <s v="sem"/>
    <s v="sem"/>
    <m/>
    <m/>
    <n v="71478"/>
    <n v="75667"/>
    <n v="14407"/>
    <n v="14088"/>
    <n v="81865"/>
    <n v="82848"/>
    <n v="167750"/>
    <n v="5591.666666666667"/>
    <n v="172603"/>
    <n v="5753.4333333333334"/>
    <n v="0"/>
    <n v="0"/>
    <n v="167750"/>
    <n v="172603"/>
    <m/>
    <m/>
    <m/>
    <m/>
    <m/>
    <m/>
    <m/>
    <m/>
    <n v="0"/>
    <n v="0"/>
    <n v="0"/>
    <n v="0"/>
    <m/>
    <m/>
    <n v="0"/>
    <n v="0"/>
  </r>
  <r>
    <x v="13"/>
    <s v="Texas A&amp;M -Texarkana"/>
    <m/>
    <n v="224545"/>
    <x v="3"/>
    <s v="sem"/>
    <s v="sem"/>
    <m/>
    <m/>
    <n v="10458"/>
    <n v="13019"/>
    <n v="3636"/>
    <n v="3367"/>
    <n v="13187"/>
    <n v="16519"/>
    <n v="27281"/>
    <n v="909.36666666666667"/>
    <n v="32905"/>
    <n v="1096.8333333333333"/>
    <n v="15"/>
    <n v="16"/>
    <n v="27281"/>
    <n v="32905"/>
    <m/>
    <m/>
    <m/>
    <m/>
    <m/>
    <m/>
    <m/>
    <m/>
    <n v="0"/>
    <n v="0"/>
    <n v="0"/>
    <n v="0"/>
    <m/>
    <m/>
    <n v="0"/>
    <n v="0"/>
  </r>
  <r>
    <x v="13"/>
    <s v="University of Houston-Victoria"/>
    <m/>
    <n v="225502"/>
    <x v="3"/>
    <s v="sem"/>
    <s v="sem"/>
    <m/>
    <m/>
    <n v="18973"/>
    <n v="23743"/>
    <n v="8297"/>
    <n v="9065"/>
    <n v="22413"/>
    <n v="25288"/>
    <n v="49683"/>
    <n v="1656.1"/>
    <n v="58096"/>
    <n v="1936.5333333333333"/>
    <n v="0"/>
    <n v="0"/>
    <n v="49683"/>
    <n v="58096"/>
    <m/>
    <m/>
    <m/>
    <m/>
    <m/>
    <m/>
    <m/>
    <m/>
    <n v="0"/>
    <n v="0"/>
    <n v="0"/>
    <n v="0"/>
    <m/>
    <m/>
    <n v="0"/>
    <n v="0"/>
  </r>
  <r>
    <x v="13"/>
    <s v="Sul Ross State University-Rio Grande College"/>
    <m/>
    <s v="228501B"/>
    <x v="4"/>
    <s v="sem"/>
    <s v="sem"/>
    <m/>
    <m/>
    <n v="6778"/>
    <n v="6668"/>
    <n v="3735"/>
    <n v="3639"/>
    <n v="7082"/>
    <n v="6552"/>
    <n v="17595"/>
    <n v="586.5"/>
    <n v="16859"/>
    <n v="561.9666666666667"/>
    <n v="0"/>
    <n v="0"/>
    <n v="17595"/>
    <n v="16859"/>
    <m/>
    <m/>
    <m/>
    <m/>
    <m/>
    <m/>
    <m/>
    <m/>
    <n v="0"/>
    <n v="0"/>
    <n v="0"/>
    <n v="0"/>
    <m/>
    <m/>
    <n v="0"/>
    <n v="0"/>
  </r>
  <r>
    <x v="13"/>
    <s v="University of Houston-Downtown"/>
    <m/>
    <n v="225432"/>
    <x v="4"/>
    <s v="sem"/>
    <s v="sem"/>
    <m/>
    <m/>
    <n v="112973"/>
    <n v="116033"/>
    <n v="31928"/>
    <n v="31347"/>
    <n v="119239"/>
    <n v="120657"/>
    <n v="264140"/>
    <n v="8804.6666666666661"/>
    <n v="268037"/>
    <n v="8934.5666666666675"/>
    <n v="543"/>
    <n v="373"/>
    <n v="264140"/>
    <n v="268037"/>
    <m/>
    <m/>
    <m/>
    <m/>
    <m/>
    <m/>
    <m/>
    <m/>
    <n v="0"/>
    <n v="0"/>
    <n v="0"/>
    <n v="0"/>
    <m/>
    <m/>
    <n v="0"/>
    <n v="0"/>
  </r>
  <r>
    <x v="13"/>
    <s v="Texas A&amp;M University at Galveston"/>
    <m/>
    <n v="228714"/>
    <x v="5"/>
    <s v="sem"/>
    <s v="sem"/>
    <m/>
    <m/>
    <n v="20654"/>
    <n v="23424"/>
    <n v="3805"/>
    <n v="4200"/>
    <n v="25022"/>
    <n v="26542"/>
    <n v="49481"/>
    <n v="1649.3666666666666"/>
    <n v="54166"/>
    <n v="1805.5333333333333"/>
    <n v="0"/>
    <n v="0"/>
    <n v="49481"/>
    <n v="54166"/>
    <m/>
    <m/>
    <m/>
    <m/>
    <m/>
    <m/>
    <m/>
    <m/>
    <n v="0"/>
    <n v="0"/>
    <n v="0"/>
    <n v="0"/>
    <m/>
    <m/>
    <n v="0"/>
    <n v="0"/>
  </r>
  <r>
    <x v="13"/>
    <s v="Brazosport College "/>
    <m/>
    <n v="223506"/>
    <x v="11"/>
    <s v="sem"/>
    <s v="sem"/>
    <n v="29763"/>
    <n v="33617"/>
    <n v="11013"/>
    <n v="10798"/>
    <n v="3264"/>
    <n v="3216"/>
    <n v="34688"/>
    <n v="34167"/>
    <n v="78728"/>
    <n v="2624.2666666666669"/>
    <n v="81798"/>
    <n v="2726.6"/>
    <n v="11131"/>
    <n v="12243"/>
    <n v="78728"/>
    <n v="81798"/>
    <n v="11039"/>
    <n v="18371"/>
    <n v="12092"/>
    <n v="7152"/>
    <n v="19919"/>
    <n v="12866"/>
    <n v="16742"/>
    <n v="10502"/>
    <n v="59792"/>
    <n v="66.435555555555553"/>
    <n v="48891"/>
    <n v="54.323333333333331"/>
    <m/>
    <m/>
    <n v="0"/>
    <n v="0"/>
  </r>
  <r>
    <x v="13"/>
    <s v="Midland College "/>
    <m/>
    <n v="226806"/>
    <x v="11"/>
    <s v="sem"/>
    <s v="sem"/>
    <n v="50278"/>
    <n v="51588"/>
    <n v="12247"/>
    <n v="13589"/>
    <n v="11390"/>
    <n v="10307"/>
    <n v="51523"/>
    <n v="48132"/>
    <n v="125438"/>
    <n v="4181.2666666666664"/>
    <n v="123616"/>
    <n v="4120.5333333333338"/>
    <n v="9143"/>
    <n v="7934"/>
    <n v="125438"/>
    <n v="123616"/>
    <n v="37048"/>
    <n v="42506"/>
    <n v="42666"/>
    <n v="60064"/>
    <n v="33236"/>
    <n v="48889"/>
    <n v="47166"/>
    <n v="57666"/>
    <n v="160116"/>
    <n v="177.90666666666667"/>
    <n v="209125"/>
    <n v="232.36111111111111"/>
    <m/>
    <m/>
    <n v="0"/>
    <n v="0"/>
  </r>
  <r>
    <x v="13"/>
    <s v="South Texas College"/>
    <m/>
    <n v="409315"/>
    <x v="11"/>
    <s v="sem"/>
    <s v="sem"/>
    <n v="219071"/>
    <n v="229196"/>
    <n v="49384"/>
    <n v="46364"/>
    <n v="39725"/>
    <n v="38815"/>
    <n v="235760"/>
    <n v="248052"/>
    <n v="543940"/>
    <n v="18131.333333333332"/>
    <n v="562427"/>
    <n v="18747.566666666666"/>
    <n v="98703"/>
    <n v="107334"/>
    <n v="543940"/>
    <n v="562427"/>
    <n v="52437"/>
    <n v="27394"/>
    <n v="68343"/>
    <n v="40064"/>
    <n v="95442"/>
    <n v="54817"/>
    <n v="53904"/>
    <n v="43514"/>
    <n v="270126"/>
    <n v="300.14"/>
    <n v="165789"/>
    <n v="184.21"/>
    <m/>
    <m/>
    <n v="0"/>
    <n v="0"/>
  </r>
  <r>
    <x v="13"/>
    <s v="Amarillo College "/>
    <m/>
    <n v="222576"/>
    <x v="6"/>
    <s v="sem"/>
    <s v="sem"/>
    <n v="90089"/>
    <n v="93647"/>
    <n v="28721"/>
    <n v="25696"/>
    <n v="0"/>
    <n v="0"/>
    <n v="94565"/>
    <n v="92437"/>
    <n v="213375"/>
    <n v="7112.5"/>
    <n v="211780"/>
    <n v="7059.333333333333"/>
    <n v="20008"/>
    <n v="20284"/>
    <n v="213375"/>
    <n v="211780"/>
    <n v="125072"/>
    <n v="122097"/>
    <n v="131462"/>
    <n v="125316"/>
    <n v="117179"/>
    <n v="123689"/>
    <n v="149263"/>
    <n v="134519"/>
    <n v="522976"/>
    <n v="581.08444444444444"/>
    <n v="505621"/>
    <n v="561.80111111111114"/>
    <m/>
    <m/>
    <n v="0"/>
    <n v="0"/>
  </r>
  <r>
    <x v="13"/>
    <s v="Austin Community College "/>
    <m/>
    <n v="222992"/>
    <x v="6"/>
    <s v="sem"/>
    <s v="sem"/>
    <n v="317360"/>
    <n v="344605"/>
    <n v="187743"/>
    <n v="185154"/>
    <n v="0"/>
    <n v="0"/>
    <n v="311359"/>
    <n v="306105"/>
    <n v="816462"/>
    <n v="27215.4"/>
    <n v="835864"/>
    <n v="27862.133333333335"/>
    <n v="48021"/>
    <n v="50586"/>
    <n v="816462"/>
    <n v="835864"/>
    <n v="107160"/>
    <n v="96828"/>
    <n v="72362"/>
    <n v="106623"/>
    <n v="97727"/>
    <n v="116457"/>
    <n v="96772"/>
    <n v="106873"/>
    <n v="374021"/>
    <n v="415.57888888888891"/>
    <n v="426781"/>
    <n v="474.20111111111112"/>
    <m/>
    <m/>
    <n v="0"/>
    <n v="0"/>
  </r>
  <r>
    <x v="13"/>
    <s v="Blinn College "/>
    <m/>
    <n v="223427"/>
    <x v="6"/>
    <s v="sem"/>
    <s v="sem"/>
    <n v="161949"/>
    <n v="164807"/>
    <n v="31463"/>
    <n v="30098"/>
    <n v="18149"/>
    <n v="17968"/>
    <n v="178016"/>
    <n v="183245"/>
    <n v="389577"/>
    <n v="12985.9"/>
    <n v="396118"/>
    <n v="13203.933333333332"/>
    <n v="13417"/>
    <n v="12947"/>
    <n v="389577"/>
    <n v="396118"/>
    <n v="35117"/>
    <n v="45281"/>
    <n v="37856"/>
    <n v="35766"/>
    <n v="45409"/>
    <n v="33585"/>
    <n v="60587"/>
    <n v="47267"/>
    <n v="178969"/>
    <n v="198.85444444444445"/>
    <n v="161899"/>
    <n v="179.88777777777779"/>
    <m/>
    <m/>
    <n v="0"/>
    <n v="0"/>
  </r>
  <r>
    <x v="13"/>
    <s v="Brookhaven College  (DCCCD)"/>
    <m/>
    <n v="223524"/>
    <x v="6"/>
    <s v="sem"/>
    <s v="sem"/>
    <n v="86667"/>
    <n v="89352"/>
    <n v="35980"/>
    <n v="33853"/>
    <n v="18009"/>
    <n v="17093"/>
    <n v="75394"/>
    <n v="74937"/>
    <n v="216050"/>
    <n v="7201.666666666667"/>
    <n v="215235"/>
    <n v="7174.5"/>
    <n v="7772"/>
    <n v="9195"/>
    <n v="216050"/>
    <n v="215235"/>
    <n v="89100"/>
    <n v="72299"/>
    <n v="94562"/>
    <n v="75368"/>
    <n v="87845"/>
    <n v="54799"/>
    <n v="106991"/>
    <n v="76757"/>
    <n v="378498"/>
    <n v="420.55333333333334"/>
    <n v="279223"/>
    <n v="310.2477777777778"/>
    <m/>
    <m/>
    <n v="0"/>
    <n v="0"/>
  </r>
  <r>
    <x v="13"/>
    <s v="Central Texas College "/>
    <m/>
    <n v="223816"/>
    <x v="6"/>
    <s v="sem"/>
    <s v="sem"/>
    <n v="108879"/>
    <n v="126523"/>
    <n v="98194"/>
    <n v="92122"/>
    <n v="6014"/>
    <n v="5181"/>
    <n v="98775"/>
    <n v="96668"/>
    <n v="311862"/>
    <n v="10395.4"/>
    <n v="320494"/>
    <n v="10683.133333333333"/>
    <n v="15847"/>
    <n v="19759"/>
    <n v="311862"/>
    <n v="320494"/>
    <n v="88561"/>
    <n v="99494"/>
    <n v="114912"/>
    <n v="115731"/>
    <n v="114472"/>
    <n v="84710"/>
    <n v="113233"/>
    <n v="98587"/>
    <n v="431178"/>
    <n v="479.08666666666664"/>
    <n v="398522"/>
    <n v="442.80222222222221"/>
    <m/>
    <m/>
    <n v="0"/>
    <n v="0"/>
  </r>
  <r>
    <x v="13"/>
    <s v="Collin County Community College District"/>
    <m/>
    <n v="247834"/>
    <x v="6"/>
    <s v="sem"/>
    <s v="sem"/>
    <n v="217884"/>
    <n v="223300"/>
    <n v="47203"/>
    <n v="47013"/>
    <n v="40030"/>
    <n v="40934"/>
    <n v="223173"/>
    <n v="226025"/>
    <n v="528290"/>
    <n v="17609.666666666668"/>
    <n v="537272"/>
    <n v="17909.066666666666"/>
    <n v="18884"/>
    <n v="21365"/>
    <n v="528290"/>
    <n v="537272"/>
    <n v="128068"/>
    <n v="129730"/>
    <n v="139694"/>
    <n v="99184"/>
    <n v="122987"/>
    <n v="127316"/>
    <n v="174611"/>
    <n v="180375"/>
    <n v="565360"/>
    <n v="628.17777777777781"/>
    <n v="536605"/>
    <n v="596.22777777777776"/>
    <m/>
    <m/>
    <n v="0"/>
    <n v="0"/>
  </r>
  <r>
    <x v="13"/>
    <s v="Del Mar College "/>
    <m/>
    <n v="224350"/>
    <x v="6"/>
    <s v="sem"/>
    <s v="sem"/>
    <n v="96181"/>
    <n v="97094"/>
    <n v="27153"/>
    <n v="25321"/>
    <n v="12998"/>
    <n v="11668"/>
    <n v="99356"/>
    <n v="96822"/>
    <n v="235688"/>
    <n v="7856.2666666666664"/>
    <n v="230905"/>
    <n v="7696.833333333333"/>
    <n v="14669"/>
    <n v="15131"/>
    <n v="235688"/>
    <n v="230905"/>
    <n v="25165"/>
    <n v="84561"/>
    <n v="54503"/>
    <n v="44534"/>
    <n v="49599"/>
    <n v="61228"/>
    <n v="106554"/>
    <n v="91039"/>
    <n v="235821"/>
    <n v="262.02333333333331"/>
    <n v="281362"/>
    <n v="312.62444444444446"/>
    <m/>
    <m/>
    <n v="0"/>
    <n v="0"/>
  </r>
  <r>
    <x v="13"/>
    <s v="Eastfield College  (DCCCD)"/>
    <m/>
    <n v="224572"/>
    <x v="6"/>
    <s v="sem"/>
    <s v="sem"/>
    <n v="94279"/>
    <n v="99334"/>
    <n v="33595"/>
    <n v="36921"/>
    <n v="16923"/>
    <n v="16027"/>
    <n v="79283"/>
    <n v="88527"/>
    <n v="224080"/>
    <n v="7469.333333333333"/>
    <n v="240809"/>
    <n v="8026.9666666666662"/>
    <n v="15163"/>
    <n v="23314"/>
    <n v="224080"/>
    <n v="240809"/>
    <n v="69710"/>
    <n v="93754"/>
    <n v="57982"/>
    <n v="103607"/>
    <n v="96492"/>
    <n v="91037"/>
    <n v="90726"/>
    <n v="105570"/>
    <n v="314910"/>
    <n v="349.9"/>
    <n v="393968"/>
    <n v="437.74222222222221"/>
    <m/>
    <m/>
    <n v="0"/>
    <n v="0"/>
  </r>
  <r>
    <x v="13"/>
    <s v="El Centro College  (DCCCD)"/>
    <m/>
    <n v="224615"/>
    <x v="6"/>
    <s v="sem"/>
    <s v="sem"/>
    <n v="71527"/>
    <n v="78880"/>
    <n v="19830"/>
    <n v="22066"/>
    <n v="11714"/>
    <n v="11053"/>
    <n v="68198"/>
    <n v="77983"/>
    <n v="171269"/>
    <n v="5708.9666666666662"/>
    <n v="189982"/>
    <n v="6332.7333333333336"/>
    <n v="9731"/>
    <n v="13033"/>
    <n v="171269"/>
    <n v="189982"/>
    <n v="473478"/>
    <n v="199547"/>
    <n v="432462"/>
    <n v="203570"/>
    <n v="547679"/>
    <n v="144259"/>
    <n v="530065"/>
    <n v="242244"/>
    <n v="1983684"/>
    <n v="2204.0933333333332"/>
    <n v="789620"/>
    <n v="877.35555555555561"/>
    <m/>
    <m/>
    <n v="0"/>
    <n v="0"/>
  </r>
  <r>
    <x v="13"/>
    <s v="El Paso County Community College District"/>
    <m/>
    <n v="224642"/>
    <x v="6"/>
    <s v="sem"/>
    <s v="sem"/>
    <n v="243616"/>
    <n v="252345"/>
    <n v="62905"/>
    <n v="68077"/>
    <n v="0"/>
    <n v="0"/>
    <n v="256038"/>
    <n v="261904"/>
    <n v="562559"/>
    <n v="18751.966666666667"/>
    <n v="582326"/>
    <n v="19410.866666666665"/>
    <n v="39080"/>
    <n v="52573"/>
    <n v="562559"/>
    <n v="582326"/>
    <n v="137627"/>
    <n v="129563"/>
    <n v="152886"/>
    <n v="133119"/>
    <n v="152974"/>
    <n v="166435"/>
    <n v="179439"/>
    <n v="163887"/>
    <n v="622926"/>
    <n v="692.14"/>
    <n v="593004"/>
    <n v="658.89333333333332"/>
    <m/>
    <m/>
    <n v="0"/>
    <n v="0"/>
  </r>
  <r>
    <x v="13"/>
    <s v="Houston Community College"/>
    <m/>
    <n v="225423"/>
    <x v="6"/>
    <s v="sem"/>
    <s v="sem"/>
    <n v="497253"/>
    <n v="519200"/>
    <n v="280546"/>
    <n v="274376"/>
    <n v="0"/>
    <n v="0"/>
    <n v="380830"/>
    <n v="390312"/>
    <n v="1158629"/>
    <n v="38620.966666666667"/>
    <n v="1183888"/>
    <n v="39462.933333333334"/>
    <n v="66415"/>
    <n v="44317"/>
    <n v="1158629"/>
    <n v="1183888"/>
    <n v="392674"/>
    <n v="537454"/>
    <n v="534631"/>
    <n v="384249"/>
    <n v="359452"/>
    <n v="388800"/>
    <n v="603942"/>
    <n v="573214"/>
    <n v="1890699"/>
    <n v="2100.7766666666666"/>
    <n v="1883717"/>
    <n v="2093.0188888888888"/>
    <m/>
    <m/>
    <n v="0"/>
    <n v="0"/>
  </r>
  <r>
    <x v="13"/>
    <s v="Kilgore College "/>
    <s v="Reclassified: Met criteria for Two-Year 1 in 2009-10, 2010-11 and 2011-12."/>
    <n v="226019"/>
    <x v="6"/>
    <s v="sem"/>
    <s v="sem"/>
    <n v="63278"/>
    <n v="63398"/>
    <n v="12194"/>
    <n v="11755"/>
    <n v="7266"/>
    <n v="6823"/>
    <n v="63784"/>
    <n v="61104"/>
    <n v="146522"/>
    <n v="4884.0666666666666"/>
    <n v="143080"/>
    <n v="4769.333333333333"/>
    <n v="11343"/>
    <n v="10814"/>
    <n v="146522"/>
    <n v="143080"/>
    <n v="130042"/>
    <n v="185513"/>
    <n v="234101"/>
    <n v="161528"/>
    <n v="212027"/>
    <n v="157431"/>
    <n v="189140"/>
    <n v="136908"/>
    <n v="765310"/>
    <n v="850.34444444444443"/>
    <n v="641380"/>
    <n v="712.64444444444439"/>
    <m/>
    <m/>
    <n v="0"/>
    <n v="0"/>
  </r>
  <r>
    <x v="13"/>
    <s v="Laredo Community College "/>
    <m/>
    <n v="226134"/>
    <x v="6"/>
    <s v="sem"/>
    <s v="sem"/>
    <n v="78572"/>
    <n v="80549"/>
    <n v="16986"/>
    <n v="15303"/>
    <n v="9518"/>
    <n v="7807"/>
    <n v="85686"/>
    <n v="85876"/>
    <n v="190762"/>
    <n v="6358.7333333333336"/>
    <n v="189535"/>
    <n v="6317.833333333333"/>
    <n v="4587"/>
    <n v="4560"/>
    <n v="190762"/>
    <n v="189535"/>
    <n v="17337"/>
    <n v="23823"/>
    <n v="32466"/>
    <n v="18475"/>
    <n v="33731"/>
    <n v="21435"/>
    <n v="32303"/>
    <n v="9747"/>
    <n v="115837"/>
    <n v="128.70777777777778"/>
    <n v="73480"/>
    <n v="81.644444444444446"/>
    <m/>
    <m/>
    <n v="0"/>
    <n v="0"/>
  </r>
  <r>
    <x v="13"/>
    <s v="Lone Star College System District"/>
    <m/>
    <n v="227182"/>
    <x v="6"/>
    <s v="sem"/>
    <s v="sem"/>
    <n v="443701"/>
    <n v="480156"/>
    <n v="220824"/>
    <n v="222911"/>
    <n v="0"/>
    <n v="0"/>
    <n v="436686"/>
    <n v="450754"/>
    <n v="1101211"/>
    <n v="36707.033333333333"/>
    <n v="1153821"/>
    <n v="38460.699999999997"/>
    <n v="65002"/>
    <n v="59785"/>
    <n v="1101211"/>
    <n v="1153821"/>
    <n v="196287"/>
    <n v="118699"/>
    <n v="115244"/>
    <n v="135513"/>
    <n v="126742"/>
    <n v="109266"/>
    <n v="210289"/>
    <n v="163531"/>
    <n v="648562"/>
    <n v="720.62444444444441"/>
    <n v="527009"/>
    <n v="585.56555555555553"/>
    <m/>
    <m/>
    <n v="0"/>
    <n v="0"/>
  </r>
  <r>
    <x v="13"/>
    <s v="McLennan Community College "/>
    <m/>
    <n v="226578"/>
    <x v="6"/>
    <s v="sem"/>
    <s v="sem"/>
    <n v="84166"/>
    <n v="96362"/>
    <n v="25442"/>
    <n v="21067"/>
    <n v="13266"/>
    <n v="12768"/>
    <n v="94420"/>
    <n v="95215"/>
    <n v="217294"/>
    <n v="7243.1333333333332"/>
    <n v="225412"/>
    <n v="7513.7333333333336"/>
    <n v="9878"/>
    <n v="10107"/>
    <n v="217294"/>
    <n v="225412"/>
    <n v="62245"/>
    <n v="41450"/>
    <n v="52059"/>
    <n v="49581"/>
    <n v="61650"/>
    <n v="55229"/>
    <n v="36531"/>
    <n v="40685"/>
    <n v="212485"/>
    <n v="236.09444444444443"/>
    <n v="186945"/>
    <n v="207.71666666666667"/>
    <m/>
    <m/>
    <n v="0"/>
    <n v="0"/>
  </r>
  <r>
    <x v="13"/>
    <s v="Navarro College "/>
    <m/>
    <n v="227146"/>
    <x v="6"/>
    <s v="sem"/>
    <s v="sem"/>
    <n v="96980"/>
    <n v="105730"/>
    <n v="24927"/>
    <n v="27451"/>
    <n v="11938"/>
    <n v="10608"/>
    <n v="99452"/>
    <n v="102798"/>
    <n v="233297"/>
    <n v="7776.5666666666666"/>
    <n v="246587"/>
    <n v="8219.5666666666675"/>
    <n v="23721"/>
    <n v="24212"/>
    <n v="233297"/>
    <n v="246587"/>
    <n v="51324"/>
    <n v="45820"/>
    <n v="36450"/>
    <n v="43110"/>
    <n v="40086"/>
    <n v="34504"/>
    <n v="48235"/>
    <n v="48073"/>
    <n v="176095"/>
    <n v="195.6611111111111"/>
    <n v="171507"/>
    <n v="190.56333333333333"/>
    <m/>
    <m/>
    <n v="0"/>
    <n v="0"/>
  </r>
  <r>
    <x v="13"/>
    <s v="North Central Texas Community College"/>
    <m/>
    <n v="224110"/>
    <x v="6"/>
    <s v="sem"/>
    <s v="sem"/>
    <n v="74853"/>
    <n v="78336"/>
    <n v="22830"/>
    <n v="23428"/>
    <n v="0"/>
    <n v="0"/>
    <n v="79425"/>
    <n v="84028"/>
    <n v="177108"/>
    <n v="5903.6"/>
    <n v="185792"/>
    <n v="6193.0666666666666"/>
    <n v="13205"/>
    <n v="12110"/>
    <n v="177108"/>
    <n v="185792"/>
    <n v="16259"/>
    <n v="26115"/>
    <n v="9314"/>
    <n v="12782"/>
    <n v="16291"/>
    <n v="25929"/>
    <n v="28803"/>
    <n v="27186"/>
    <n v="70667"/>
    <n v="78.518888888888895"/>
    <n v="92012"/>
    <n v="102.23555555555555"/>
    <m/>
    <m/>
    <n v="0"/>
    <n v="0"/>
  </r>
  <r>
    <x v="13"/>
    <s v="North Lake College  (DCCCD)"/>
    <m/>
    <n v="227191"/>
    <x v="6"/>
    <s v="sem"/>
    <s v="sem"/>
    <n v="86219"/>
    <n v="84041"/>
    <n v="21688"/>
    <n v="25036"/>
    <n v="16535"/>
    <n v="13256"/>
    <n v="81509"/>
    <n v="78328"/>
    <n v="205951"/>
    <n v="6865.0333333333338"/>
    <n v="200661"/>
    <n v="6688.7"/>
    <n v="10559"/>
    <n v="11886"/>
    <n v="205951"/>
    <n v="200661"/>
    <n v="129448"/>
    <n v="107704"/>
    <n v="68850"/>
    <n v="69304"/>
    <n v="76654"/>
    <n v="51430"/>
    <n v="128582"/>
    <n v="148816"/>
    <n v="403534"/>
    <n v="448.37111111111113"/>
    <n v="377254"/>
    <n v="419.17111111111109"/>
    <m/>
    <m/>
    <n v="0"/>
    <n v="0"/>
  </r>
  <r>
    <x v="13"/>
    <s v="Northwest Vista College (ACCD)"/>
    <m/>
    <n v="420398"/>
    <x v="6"/>
    <s v="sem"/>
    <s v="sem"/>
    <n v="125391"/>
    <n v="129536"/>
    <n v="39040"/>
    <n v="35283"/>
    <n v="5403"/>
    <n v="0"/>
    <n v="126040"/>
    <n v="131155"/>
    <n v="295874"/>
    <n v="9862.4666666666672"/>
    <n v="295974"/>
    <n v="9865.7999999999993"/>
    <n v="19417"/>
    <n v="22176"/>
    <n v="295874"/>
    <n v="295974"/>
    <n v="24168"/>
    <n v="2896"/>
    <n v="28365"/>
    <n v="4188"/>
    <n v="25928"/>
    <n v="4568"/>
    <n v="19362"/>
    <n v="23839"/>
    <n v="97823"/>
    <n v="108.69222222222223"/>
    <n v="35491"/>
    <n v="39.434444444444445"/>
    <m/>
    <m/>
    <n v="0"/>
    <n v="0"/>
  </r>
  <r>
    <x v="13"/>
    <s v="Palo Alto College  (ACCD)"/>
    <m/>
    <n v="246354"/>
    <x v="6"/>
    <s v="sem"/>
    <s v="sem"/>
    <n v="70047"/>
    <n v="73272"/>
    <n v="20443"/>
    <n v="21590"/>
    <n v="7336"/>
    <n v="0"/>
    <n v="67279"/>
    <n v="71422"/>
    <n v="165105"/>
    <n v="5503.5"/>
    <n v="166284"/>
    <n v="5542.8"/>
    <n v="13714"/>
    <n v="19330"/>
    <n v="165105"/>
    <n v="166284"/>
    <n v="53540"/>
    <n v="17725"/>
    <n v="66950"/>
    <n v="46645"/>
    <n v="36517"/>
    <n v="64301"/>
    <n v="47291"/>
    <n v="38603"/>
    <n v="204298"/>
    <n v="226.99777777777777"/>
    <n v="167274"/>
    <n v="185.86"/>
    <m/>
    <m/>
    <n v="0"/>
    <n v="0"/>
  </r>
  <r>
    <x v="13"/>
    <s v="Richland College  (DCCCD)"/>
    <m/>
    <n v="227766"/>
    <x v="6"/>
    <s v="sem"/>
    <s v="sem"/>
    <n v="142648"/>
    <n v="144325"/>
    <n v="55616"/>
    <n v="54328"/>
    <n v="27694"/>
    <n v="25301"/>
    <n v="124116"/>
    <n v="128208"/>
    <n v="350074"/>
    <n v="11669.133333333333"/>
    <n v="352162"/>
    <n v="11738.733333333334"/>
    <n v="26011"/>
    <n v="31134"/>
    <n v="350074"/>
    <n v="352162"/>
    <n v="166961"/>
    <n v="156660"/>
    <n v="179960"/>
    <n v="166508"/>
    <n v="163334"/>
    <n v="162617"/>
    <n v="230837"/>
    <n v="214981"/>
    <n v="741092"/>
    <n v="823.43555555555554"/>
    <n v="700766"/>
    <n v="778.62888888888892"/>
    <m/>
    <m/>
    <n v="0"/>
    <n v="0"/>
  </r>
  <r>
    <x v="13"/>
    <s v="San Antonio College (ACCD)"/>
    <m/>
    <n v="227924"/>
    <x v="6"/>
    <s v="sem"/>
    <s v="sem"/>
    <n v="216322"/>
    <n v="224466"/>
    <n v="62262"/>
    <n v="58381"/>
    <n v="23243"/>
    <n v="0"/>
    <n v="199638"/>
    <n v="215717"/>
    <n v="501465"/>
    <n v="16715.5"/>
    <n v="498564"/>
    <n v="16618.8"/>
    <n v="16550"/>
    <n v="21087"/>
    <n v="501465"/>
    <n v="498564"/>
    <n v="112449"/>
    <n v="82479"/>
    <n v="76664"/>
    <n v="70520"/>
    <n v="93271"/>
    <n v="92068"/>
    <n v="93736"/>
    <n v="88207"/>
    <n v="376120"/>
    <n v="417.9111111111111"/>
    <n v="333274"/>
    <n v="370.30444444444447"/>
    <m/>
    <m/>
    <n v="0"/>
    <n v="0"/>
  </r>
  <r>
    <x v="13"/>
    <s v="San Jacinto College"/>
    <m/>
    <n v="227979"/>
    <x v="6"/>
    <s v="sem"/>
    <s v="sem"/>
    <n v="233369"/>
    <n v="250133"/>
    <n v="71933"/>
    <n v="101702"/>
    <n v="0"/>
    <n v="0"/>
    <n v="269795"/>
    <n v="248562"/>
    <n v="575097"/>
    <n v="19169.900000000001"/>
    <n v="600397"/>
    <n v="20013.233333333334"/>
    <n v="28877"/>
    <n v="29013"/>
    <n v="575097"/>
    <n v="600397"/>
    <n v="96373"/>
    <n v="105120"/>
    <n v="72815"/>
    <n v="67954"/>
    <n v="123606"/>
    <n v="104067"/>
    <n v="80210"/>
    <n v="124522"/>
    <n v="373004"/>
    <n v="414.44888888888892"/>
    <n v="401663"/>
    <n v="446.29222222222222"/>
    <m/>
    <m/>
    <n v="0"/>
    <n v="0"/>
  </r>
  <r>
    <x v="13"/>
    <s v="South Plains College "/>
    <m/>
    <n v="228158"/>
    <x v="6"/>
    <s v="sem"/>
    <s v="sem"/>
    <n v="95764"/>
    <n v="96525"/>
    <n v="14825"/>
    <n v="14831"/>
    <n v="7310"/>
    <n v="7200"/>
    <n v="99140"/>
    <n v="100587"/>
    <n v="217039"/>
    <n v="7234.6333333333332"/>
    <n v="219143"/>
    <n v="7304.7666666666664"/>
    <n v="21040"/>
    <n v="20907"/>
    <n v="217039"/>
    <n v="219143"/>
    <n v="93341"/>
    <n v="69321"/>
    <n v="91674"/>
    <n v="67577"/>
    <n v="71229"/>
    <n v="57993"/>
    <n v="85525"/>
    <n v="64771"/>
    <n v="341769"/>
    <n v="379.74333333333334"/>
    <n v="259662"/>
    <n v="288.51333333333332"/>
    <m/>
    <m/>
    <n v="0"/>
    <n v="0"/>
  </r>
  <r>
    <x v="13"/>
    <s v="St. Philip's College  (ACCD)"/>
    <m/>
    <n v="227854"/>
    <x v="6"/>
    <s v="sem"/>
    <s v="sem"/>
    <n v="97024"/>
    <n v="92273"/>
    <n v="32560"/>
    <n v="26904"/>
    <n v="8760"/>
    <n v="0"/>
    <n v="80171"/>
    <n v="79404"/>
    <n v="218515"/>
    <n v="7283.833333333333"/>
    <n v="198581"/>
    <n v="6619.3666666666668"/>
    <n v="15340"/>
    <n v="16473"/>
    <n v="218515"/>
    <n v="198581"/>
    <n v="35511"/>
    <n v="27166"/>
    <n v="34266"/>
    <n v="28144"/>
    <n v="25749"/>
    <n v="32469"/>
    <n v="20582"/>
    <n v="25235"/>
    <n v="116108"/>
    <n v="129.00888888888889"/>
    <n v="113014"/>
    <n v="125.57111111111111"/>
    <m/>
    <m/>
    <n v="0"/>
    <n v="0"/>
  </r>
  <r>
    <x v="13"/>
    <s v="Tarrant County College"/>
    <m/>
    <n v="228547"/>
    <x v="6"/>
    <s v="sem"/>
    <s v="sem"/>
    <n v="398585"/>
    <n v="413090"/>
    <n v="173087"/>
    <n v="182747"/>
    <n v="0"/>
    <n v="0"/>
    <n v="396982"/>
    <n v="376822"/>
    <n v="968654"/>
    <n v="32288.466666666667"/>
    <n v="972659"/>
    <n v="32421.966666666667"/>
    <n v="35886"/>
    <n v="38347"/>
    <n v="968654"/>
    <n v="972659"/>
    <n v="178974"/>
    <n v="183087"/>
    <n v="155540"/>
    <n v="201121"/>
    <n v="133834"/>
    <n v="216806"/>
    <n v="228119"/>
    <n v="269126"/>
    <n v="696467"/>
    <n v="773.85222222222217"/>
    <n v="870140"/>
    <n v="966.82222222222219"/>
    <m/>
    <m/>
    <n v="0"/>
    <n v="0"/>
  </r>
  <r>
    <x v="13"/>
    <s v="Texas Southmost College "/>
    <m/>
    <n v="229072"/>
    <x v="6"/>
    <s v="sem"/>
    <s v="sem"/>
    <n v="79459"/>
    <n v="84962"/>
    <n v="14720"/>
    <n v="15022"/>
    <n v="9890"/>
    <n v="9845"/>
    <n v="86537"/>
    <n v="83537"/>
    <n v="190606"/>
    <n v="6353.5333333333338"/>
    <n v="193366"/>
    <n v="6445.5333333333338"/>
    <n v="16750"/>
    <n v="9151"/>
    <n v="190606"/>
    <n v="193366"/>
    <n v="19747"/>
    <n v="43101"/>
    <n v="20381"/>
    <n v="18091"/>
    <n v="31949"/>
    <n v="26558"/>
    <n v="37125"/>
    <n v="19882"/>
    <n v="109202"/>
    <n v="121.33555555555556"/>
    <n v="107632"/>
    <n v="119.5911111111111"/>
    <m/>
    <m/>
    <n v="0"/>
    <n v="0"/>
  </r>
  <r>
    <x v="13"/>
    <s v="Texas State Technical College-Waco"/>
    <s v="Reclassified: Met criteria for Two-Year 1 in 2009-10, 2010-11 and 2011-12."/>
    <n v="228680"/>
    <x v="6"/>
    <s v="sem"/>
    <s v="sem"/>
    <n v="60332"/>
    <n v="57861"/>
    <n v="41453"/>
    <n v="39433"/>
    <n v="0"/>
    <n v="0"/>
    <n v="61649"/>
    <n v="55502"/>
    <n v="163434"/>
    <n v="5447.8"/>
    <n v="152796"/>
    <n v="5093.2"/>
    <n v="3806"/>
    <n v="4369"/>
    <n v="163434"/>
    <n v="152796"/>
    <n v="5240"/>
    <n v="3404"/>
    <n v="9932"/>
    <n v="3160"/>
    <n v="7792"/>
    <n v="1120"/>
    <n v="3509"/>
    <n v="1439"/>
    <n v="26473"/>
    <n v="29.414444444444445"/>
    <n v="9123"/>
    <n v="10.136666666666667"/>
    <m/>
    <m/>
    <n v="0"/>
    <n v="0"/>
  </r>
  <r>
    <x v="13"/>
    <s v="Trinity Valley Community College"/>
    <s v="Reclassified: Met criteria for Two-Year 1 in 2009-10, 2010-11 and 2011-12."/>
    <n v="225308"/>
    <x v="6"/>
    <s v="sem"/>
    <s v="sem"/>
    <n v="68075"/>
    <n v="71262"/>
    <n v="16137"/>
    <n v="16884"/>
    <n v="11315"/>
    <n v="10374"/>
    <n v="70587"/>
    <n v="69310"/>
    <n v="166114"/>
    <n v="5537.1333333333332"/>
    <n v="167830"/>
    <n v="5594.333333333333"/>
    <n v="15747"/>
    <n v="14924"/>
    <n v="166114"/>
    <n v="167830"/>
    <n v="55888"/>
    <n v="41616"/>
    <n v="54132"/>
    <n v="46944"/>
    <n v="45733"/>
    <n v="35156"/>
    <n v="63752"/>
    <n v="89595"/>
    <n v="219505"/>
    <n v="243.89444444444445"/>
    <n v="213311"/>
    <n v="237.01222222222222"/>
    <m/>
    <m/>
    <n v="0"/>
    <n v="0"/>
  </r>
  <r>
    <x v="13"/>
    <s v="Tyler Junior College "/>
    <m/>
    <n v="229355"/>
    <x v="6"/>
    <s v="sem"/>
    <s v="sem"/>
    <n v="105356"/>
    <n v="115038"/>
    <n v="25189"/>
    <n v="19629"/>
    <n v="8442"/>
    <n v="8570"/>
    <n v="120181"/>
    <n v="116545"/>
    <n v="259168"/>
    <n v="8638.9333333333325"/>
    <n v="259782"/>
    <n v="8659.4"/>
    <n v="13943"/>
    <n v="15229"/>
    <n v="259168"/>
    <n v="259782"/>
    <n v="80585"/>
    <n v="69876"/>
    <n v="87735"/>
    <n v="71986"/>
    <n v="70168"/>
    <n v="68230"/>
    <n v="74079"/>
    <n v="64346"/>
    <n v="312567"/>
    <n v="347.29666666666668"/>
    <n v="274438"/>
    <n v="304.93111111111114"/>
    <m/>
    <m/>
    <n v="0"/>
    <n v="0"/>
  </r>
  <r>
    <x v="13"/>
    <s v="Alvin Community College "/>
    <m/>
    <n v="222567"/>
    <x v="7"/>
    <s v="sem"/>
    <s v="sem"/>
    <n v="44727"/>
    <n v="44996"/>
    <n v="20223"/>
    <n v="18141"/>
    <n v="0"/>
    <n v="0"/>
    <n v="46517"/>
    <n v="43441"/>
    <n v="111467"/>
    <n v="3715.5666666666666"/>
    <n v="106578"/>
    <n v="3552.6"/>
    <n v="13673"/>
    <n v="12255"/>
    <n v="111467"/>
    <n v="106578"/>
    <n v="28460"/>
    <n v="24522"/>
    <n v="29894"/>
    <n v="21176"/>
    <n v="41690"/>
    <n v="23235"/>
    <n v="33080"/>
    <n v="27749"/>
    <n v="133124"/>
    <n v="147.91555555555556"/>
    <n v="96682"/>
    <n v="107.42444444444445"/>
    <m/>
    <m/>
    <n v="0"/>
    <n v="0"/>
  </r>
  <r>
    <x v="13"/>
    <s v="Angelina College "/>
    <m/>
    <n v="222822"/>
    <x v="7"/>
    <s v="sem"/>
    <s v="sem"/>
    <n v="47197"/>
    <n v="49314"/>
    <n v="9435"/>
    <n v="9073"/>
    <n v="4351"/>
    <n v="3779"/>
    <n v="53295"/>
    <n v="51730"/>
    <n v="114278"/>
    <n v="3809.2666666666669"/>
    <n v="113896"/>
    <n v="3796.5333333333333"/>
    <n v="12671"/>
    <n v="13855"/>
    <n v="114278"/>
    <n v="113896"/>
    <n v="31994"/>
    <n v="83343"/>
    <n v="100018"/>
    <n v="30693"/>
    <n v="99549"/>
    <n v="74856"/>
    <n v="31434"/>
    <n v="29087"/>
    <n v="262995"/>
    <n v="292.21666666666664"/>
    <n v="217979"/>
    <n v="242.19888888888889"/>
    <m/>
    <m/>
    <n v="0"/>
    <n v="0"/>
  </r>
  <r>
    <x v="13"/>
    <s v="Cedar Valley College  (DCCCD)"/>
    <m/>
    <n v="223773"/>
    <x v="7"/>
    <s v="sem"/>
    <s v="sem"/>
    <n v="45775"/>
    <n v="45892"/>
    <n v="14183"/>
    <n v="16092"/>
    <n v="8858"/>
    <n v="7338"/>
    <n v="41826"/>
    <n v="42646"/>
    <n v="110642"/>
    <n v="3688.0666666666666"/>
    <n v="111968"/>
    <n v="3732.2666666666669"/>
    <n v="9442"/>
    <n v="13130"/>
    <n v="110642"/>
    <n v="111968"/>
    <n v="74381"/>
    <n v="48657"/>
    <n v="102193"/>
    <n v="67531"/>
    <n v="73281"/>
    <n v="37573"/>
    <n v="87214"/>
    <n v="52978"/>
    <n v="337069"/>
    <n v="374.52111111111111"/>
    <n v="206739"/>
    <n v="229.71"/>
    <m/>
    <m/>
    <n v="0"/>
    <n v="0"/>
  </r>
  <r>
    <x v="13"/>
    <s v="Cisco Junior College"/>
    <m/>
    <n v="223898"/>
    <x v="7"/>
    <s v="sem"/>
    <s v="sem"/>
    <n v="40994"/>
    <n v="42604"/>
    <n v="7276"/>
    <n v="7171"/>
    <n v="2023"/>
    <n v="2693"/>
    <n v="45006"/>
    <n v="42100"/>
    <n v="95299"/>
    <n v="3176.6333333333332"/>
    <n v="94568"/>
    <n v="3152.2666666666669"/>
    <n v="4010"/>
    <n v="7241"/>
    <n v="95299"/>
    <n v="94568"/>
    <n v="6480"/>
    <n v="1900"/>
    <n v="5424"/>
    <n v="1850"/>
    <n v="1666"/>
    <n v="608"/>
    <n v="1900"/>
    <n v="1828"/>
    <n v="15470"/>
    <n v="17.18888888888889"/>
    <n v="6186"/>
    <n v="6.8733333333333331"/>
    <m/>
    <m/>
    <n v="0"/>
    <n v="0"/>
  </r>
  <r>
    <x v="13"/>
    <s v="Coastal Bend College"/>
    <m/>
    <n v="223320"/>
    <x v="7"/>
    <s v="sem"/>
    <s v="sem"/>
    <n v="35006"/>
    <n v="34519"/>
    <n v="10251"/>
    <n v="9754"/>
    <n v="2961"/>
    <n v="3006"/>
    <n v="37203"/>
    <n v="32337"/>
    <n v="85421"/>
    <n v="2847.3666666666668"/>
    <n v="79616"/>
    <n v="2653.8666666666668"/>
    <n v="12915"/>
    <n v="14910"/>
    <n v="85421"/>
    <n v="79616"/>
    <n v="25471"/>
    <n v="39911"/>
    <n v="54226"/>
    <n v="67854"/>
    <n v="54674"/>
    <n v="82344"/>
    <n v="40929"/>
    <n v="65765"/>
    <n v="175300"/>
    <n v="194.77777777777777"/>
    <n v="255874"/>
    <n v="284.30444444444447"/>
    <m/>
    <m/>
    <n v="0"/>
    <n v="0"/>
  </r>
  <r>
    <x v="13"/>
    <s v="College of the Mainland"/>
    <m/>
    <n v="226408"/>
    <x v="7"/>
    <s v="sem"/>
    <s v="sem"/>
    <n v="35496"/>
    <n v="36112"/>
    <n v="8725"/>
    <n v="9727"/>
    <n v="7822"/>
    <n v="7532"/>
    <n v="35705"/>
    <n v="33935"/>
    <n v="87748"/>
    <n v="2924.9333333333334"/>
    <n v="87306"/>
    <n v="2910.2"/>
    <n v="7171"/>
    <n v="8066"/>
    <n v="87748"/>
    <n v="87306"/>
    <n v="70285"/>
    <n v="53328"/>
    <n v="65267"/>
    <n v="36974"/>
    <n v="63442"/>
    <n v="52758"/>
    <n v="63027"/>
    <n v="48765"/>
    <n v="262021"/>
    <n v="291.13444444444445"/>
    <n v="191825"/>
    <n v="213.13888888888889"/>
    <m/>
    <m/>
    <n v="0"/>
    <n v="0"/>
  </r>
  <r>
    <x v="13"/>
    <s v="Grayson County College "/>
    <m/>
    <n v="225070"/>
    <x v="7"/>
    <s v="sem"/>
    <s v="sem"/>
    <n v="46413"/>
    <n v="51354"/>
    <n v="10419"/>
    <n v="10067"/>
    <n v="3266"/>
    <n v="3889"/>
    <n v="51776"/>
    <n v="51032"/>
    <n v="111874"/>
    <n v="3729.1333333333332"/>
    <n v="116342"/>
    <n v="3878.0666666666666"/>
    <n v="4602"/>
    <n v="5826"/>
    <n v="111874"/>
    <n v="116342"/>
    <n v="22847"/>
    <n v="14465"/>
    <n v="23063"/>
    <n v="22040"/>
    <n v="25392"/>
    <n v="23955"/>
    <n v="19113"/>
    <n v="17833"/>
    <n v="90415"/>
    <n v="100.46111111111111"/>
    <n v="78293"/>
    <n v="86.992222222222225"/>
    <m/>
    <m/>
    <n v="0"/>
    <n v="0"/>
  </r>
  <r>
    <x v="13"/>
    <s v="Hill College"/>
    <m/>
    <n v="225371"/>
    <x v="7"/>
    <s v="sem"/>
    <s v="sem"/>
    <n v="40248"/>
    <n v="41045"/>
    <n v="12875"/>
    <n v="11526"/>
    <n v="2845"/>
    <n v="2760"/>
    <n v="42525"/>
    <n v="39309"/>
    <n v="98493"/>
    <n v="3283.1"/>
    <n v="94640"/>
    <n v="3154.6666666666665"/>
    <n v="10518"/>
    <n v="9522"/>
    <n v="98493"/>
    <n v="94640"/>
    <n v="17654"/>
    <n v="15980"/>
    <n v="10417"/>
    <n v="15366"/>
    <n v="17176"/>
    <n v="8992"/>
    <n v="12862"/>
    <n v="12814"/>
    <n v="58109"/>
    <n v="64.565555555555562"/>
    <n v="53152"/>
    <n v="59.05777777777778"/>
    <m/>
    <m/>
    <n v="0"/>
    <n v="0"/>
  </r>
  <r>
    <x v="13"/>
    <s v="Howard College (HCJCD)"/>
    <m/>
    <n v="225520"/>
    <x v="7"/>
    <s v="sem"/>
    <s v="sem"/>
    <n v="34244"/>
    <n v="39148"/>
    <n v="6652"/>
    <n v="7114"/>
    <n v="3014"/>
    <n v="3086"/>
    <n v="39002"/>
    <n v="37689"/>
    <n v="82912"/>
    <n v="2763.7333333333331"/>
    <n v="87037"/>
    <n v="2901.2333333333331"/>
    <n v="15096"/>
    <n v="13864"/>
    <n v="82912"/>
    <n v="87037"/>
    <n v="193800"/>
    <n v="220723"/>
    <n v="258249"/>
    <n v="215667"/>
    <n v="269259"/>
    <n v="199639"/>
    <n v="251097"/>
    <n v="135182"/>
    <n v="972405"/>
    <n v="1080.45"/>
    <n v="771211"/>
    <n v="856.90111111111116"/>
    <m/>
    <m/>
    <n v="0"/>
    <n v="0"/>
  </r>
  <r>
    <x v="13"/>
    <s v="Lamar Institute of Technology"/>
    <m/>
    <n v="441760"/>
    <x v="7"/>
    <s v="sem"/>
    <s v="sem"/>
    <n v="29911"/>
    <n v="29152"/>
    <n v="2414"/>
    <n v="2561"/>
    <n v="1555"/>
    <n v="1683"/>
    <n v="33560"/>
    <n v="30984"/>
    <n v="67440"/>
    <n v="2248"/>
    <n v="64380"/>
    <n v="2146"/>
    <n v="1273"/>
    <n v="1310"/>
    <n v="67440"/>
    <n v="64380"/>
    <n v="38880"/>
    <n v="27288"/>
    <n v="48953"/>
    <n v="27133"/>
    <n v="30404"/>
    <n v="33816"/>
    <n v="34158"/>
    <n v="35254"/>
    <n v="152395"/>
    <n v="169.32777777777778"/>
    <n v="123491"/>
    <n v="137.21222222222221"/>
    <m/>
    <m/>
    <n v="0"/>
    <n v="0"/>
  </r>
  <r>
    <x v="13"/>
    <s v="Lee College "/>
    <m/>
    <n v="226204"/>
    <x v="7"/>
    <s v="sem"/>
    <s v="sem"/>
    <n v="57161"/>
    <n v="59665"/>
    <n v="26260"/>
    <n v="23896"/>
    <n v="4191"/>
    <n v="3482"/>
    <n v="56131"/>
    <n v="53085"/>
    <n v="143743"/>
    <n v="4791.4333333333334"/>
    <n v="140128"/>
    <n v="4670.9333333333334"/>
    <n v="4145"/>
    <n v="6801"/>
    <n v="143743"/>
    <n v="140128"/>
    <n v="44921"/>
    <n v="37158"/>
    <n v="26774"/>
    <n v="28407"/>
    <n v="25720"/>
    <n v="23643"/>
    <n v="39945"/>
    <n v="25718"/>
    <n v="137360"/>
    <n v="152.62222222222223"/>
    <n v="114926"/>
    <n v="127.69555555555556"/>
    <m/>
    <m/>
    <n v="0"/>
    <n v="0"/>
  </r>
  <r>
    <x v="13"/>
    <s v="Mountain View College  (DCCCD)"/>
    <s v="Met the criteria for Two-Year 1 in 2010-11 amd 2011-12."/>
    <n v="226930"/>
    <x v="7"/>
    <s v="sem"/>
    <s v="sem"/>
    <n v="60730"/>
    <n v="59502"/>
    <n v="18725"/>
    <n v="18861"/>
    <n v="9855"/>
    <n v="8092"/>
    <n v="57043"/>
    <n v="60037"/>
    <n v="146353"/>
    <n v="4878.4333333333334"/>
    <n v="146492"/>
    <n v="4883.0666666666666"/>
    <n v="9878"/>
    <n v="7832"/>
    <n v="146353"/>
    <n v="146492"/>
    <n v="36996"/>
    <n v="25427"/>
    <n v="30872"/>
    <n v="26246"/>
    <n v="30885"/>
    <n v="35671"/>
    <n v="35482"/>
    <n v="34257"/>
    <n v="134235"/>
    <n v="149.15"/>
    <n v="121601"/>
    <n v="135.11222222222221"/>
    <m/>
    <m/>
    <n v="0"/>
    <n v="0"/>
  </r>
  <r>
    <x v="13"/>
    <s v="Northeast Texas Community College "/>
    <s v="Reclassified: Met criteria for Two-Year 2 in 2009-10, 2010-11 and 2011-12."/>
    <n v="227225"/>
    <x v="7"/>
    <s v="sem"/>
    <s v="sem"/>
    <n v="27446"/>
    <n v="30175"/>
    <n v="7163"/>
    <n v="6783"/>
    <n v="3607"/>
    <n v="0"/>
    <n v="31534"/>
    <n v="35644"/>
    <n v="69750"/>
    <n v="2325"/>
    <n v="72602"/>
    <n v="2420.0666666666666"/>
    <n v="4494"/>
    <n v="5886"/>
    <n v="69750"/>
    <n v="72602"/>
    <n v="6122"/>
    <n v="8942"/>
    <n v="15498"/>
    <n v="7869"/>
    <n v="7872"/>
    <n v="7228"/>
    <n v="8355"/>
    <n v="8308"/>
    <n v="37847"/>
    <n v="42.05222222222222"/>
    <n v="32347"/>
    <n v="35.941111111111113"/>
    <m/>
    <m/>
    <n v="0"/>
    <n v="0"/>
  </r>
  <r>
    <x v="13"/>
    <s v="Odessa College "/>
    <m/>
    <n v="227304"/>
    <x v="7"/>
    <s v="sem"/>
    <s v="sem"/>
    <n v="43500"/>
    <n v="43419"/>
    <n v="7059"/>
    <n v="7383"/>
    <n v="5579"/>
    <n v="4854"/>
    <n v="44665"/>
    <n v="43112"/>
    <n v="100803"/>
    <n v="3360.1"/>
    <n v="98768"/>
    <n v="3292.2666666666669"/>
    <n v="9193"/>
    <n v="10092"/>
    <n v="100803"/>
    <n v="98768"/>
    <n v="72863"/>
    <n v="66361"/>
    <n v="57703"/>
    <n v="87615"/>
    <n v="76577"/>
    <n v="80000"/>
    <n v="84139"/>
    <n v="88040"/>
    <n v="291282"/>
    <n v="323.64666666666665"/>
    <n v="322016"/>
    <n v="357.79555555555555"/>
    <m/>
    <m/>
    <n v="0"/>
    <n v="0"/>
  </r>
  <r>
    <x v="13"/>
    <s v="Paris Junior College"/>
    <m/>
    <n v="227401"/>
    <x v="7"/>
    <s v="sem"/>
    <s v="sem"/>
    <n v="52581"/>
    <n v="55180"/>
    <n v="13117"/>
    <n v="19534"/>
    <n v="7247"/>
    <n v="0"/>
    <n v="58886"/>
    <n v="57170"/>
    <n v="131831"/>
    <n v="4394.3666666666668"/>
    <n v="131884"/>
    <n v="4396.1333333333332"/>
    <n v="12473"/>
    <n v="12465"/>
    <n v="131831"/>
    <n v="131884"/>
    <n v="24014"/>
    <n v="12188"/>
    <n v="17154"/>
    <n v="14789"/>
    <n v="15112"/>
    <n v="18928"/>
    <n v="18634"/>
    <n v="37412"/>
    <n v="74914"/>
    <n v="83.237777777777779"/>
    <n v="83317"/>
    <n v="92.574444444444438"/>
    <m/>
    <m/>
    <n v="0"/>
    <n v="0"/>
  </r>
  <r>
    <x v="13"/>
    <s v="Southwest Texas Junior College "/>
    <m/>
    <n v="228316"/>
    <x v="7"/>
    <s v="sem"/>
    <s v="sem"/>
    <n v="49538"/>
    <n v="50408"/>
    <n v="9687"/>
    <n v="8129"/>
    <n v="5009"/>
    <n v="4232"/>
    <n v="54329"/>
    <n v="48836"/>
    <n v="118563"/>
    <n v="3952.1"/>
    <n v="111605"/>
    <n v="3720.1666666666665"/>
    <n v="16075"/>
    <n v="14657"/>
    <n v="118563"/>
    <n v="111605"/>
    <n v="33708"/>
    <n v="64752"/>
    <n v="36157"/>
    <n v="14625"/>
    <n v="55458"/>
    <n v="41572"/>
    <n v="28812"/>
    <n v="17092"/>
    <n v="154135"/>
    <n v="171.26111111111112"/>
    <n v="138041"/>
    <n v="153.37888888888889"/>
    <m/>
    <m/>
    <n v="0"/>
    <n v="0"/>
  </r>
  <r>
    <x v="13"/>
    <s v="Temple College "/>
    <m/>
    <n v="228608"/>
    <x v="7"/>
    <s v="sem"/>
    <s v="sem"/>
    <n v="49299"/>
    <n v="51775"/>
    <n v="16303"/>
    <n v="14930"/>
    <n v="0"/>
    <n v="0"/>
    <n v="56569"/>
    <n v="54852"/>
    <n v="122171"/>
    <n v="4072.3666666666668"/>
    <n v="121557"/>
    <n v="4051.9"/>
    <n v="13531"/>
    <n v="12763"/>
    <n v="122171"/>
    <n v="121557"/>
    <n v="20306"/>
    <n v="24479"/>
    <n v="25598"/>
    <n v="31314"/>
    <n v="22373"/>
    <n v="25699"/>
    <n v="29686"/>
    <n v="40675"/>
    <n v="97963"/>
    <n v="108.84777777777778"/>
    <n v="122167"/>
    <n v="135.74111111111111"/>
    <m/>
    <m/>
    <n v="0"/>
    <n v="0"/>
  </r>
  <r>
    <x v="13"/>
    <s v="Texarkana College "/>
    <m/>
    <n v="228699"/>
    <x v="7"/>
    <s v="sem"/>
    <s v="sem"/>
    <n v="38862"/>
    <n v="34706"/>
    <n v="12738"/>
    <n v="10735"/>
    <n v="2192"/>
    <n v="2038"/>
    <n v="41184"/>
    <n v="40008"/>
    <n v="94976"/>
    <n v="3165.8666666666668"/>
    <n v="87487"/>
    <n v="2916.2333333333331"/>
    <n v="10933"/>
    <n v="11333"/>
    <n v="94976"/>
    <n v="87487"/>
    <n v="11998"/>
    <n v="98110"/>
    <n v="86019"/>
    <n v="98478"/>
    <n v="178348"/>
    <n v="72392"/>
    <n v="104749"/>
    <n v="105394"/>
    <n v="381114"/>
    <n v="423.46"/>
    <n v="374374"/>
    <n v="415.9711111111111"/>
    <m/>
    <m/>
    <n v="0"/>
    <n v="0"/>
  </r>
  <r>
    <x v="13"/>
    <s v="Texas State Technical College-Harlingen "/>
    <m/>
    <n v="229319"/>
    <x v="7"/>
    <s v="sem"/>
    <s v="sem"/>
    <n v="45809"/>
    <n v="46121"/>
    <n v="34934"/>
    <n v="32274"/>
    <n v="0"/>
    <n v="0"/>
    <n v="55266"/>
    <n v="51996"/>
    <n v="136009"/>
    <n v="4533.6333333333332"/>
    <n v="130391"/>
    <n v="4346.3666666666668"/>
    <n v="13258"/>
    <n v="12569"/>
    <n v="136009"/>
    <n v="130391"/>
    <n v="25798"/>
    <n v="18603"/>
    <n v="39074"/>
    <n v="23102"/>
    <n v="34558"/>
    <n v="15184"/>
    <n v="24452"/>
    <n v="33008"/>
    <n v="123882"/>
    <n v="137.64666666666668"/>
    <n v="89897"/>
    <n v="99.885555555555555"/>
    <m/>
    <m/>
    <n v="0"/>
    <n v="0"/>
  </r>
  <r>
    <x v="13"/>
    <s v="Vernon College "/>
    <m/>
    <n v="229504"/>
    <x v="7"/>
    <s v="sem"/>
    <s v="sem"/>
    <n v="28550"/>
    <n v="29097"/>
    <n v="5732"/>
    <n v="5183"/>
    <n v="6322"/>
    <n v="5631"/>
    <n v="27209"/>
    <n v="27668"/>
    <n v="67813"/>
    <n v="2260.4333333333334"/>
    <n v="67579"/>
    <n v="2252.6333333333332"/>
    <n v="5248"/>
    <n v="4750"/>
    <n v="67813"/>
    <n v="67579"/>
    <n v="34118"/>
    <n v="115567"/>
    <n v="51829"/>
    <n v="81514"/>
    <n v="88974"/>
    <n v="80695"/>
    <n v="197470"/>
    <n v="67010"/>
    <n v="372391"/>
    <n v="413.76777777777778"/>
    <n v="344786"/>
    <n v="383.09555555555556"/>
    <m/>
    <m/>
    <n v="0"/>
    <n v="0"/>
  </r>
  <r>
    <x v="13"/>
    <s v="Victoria College "/>
    <m/>
    <n v="229540"/>
    <x v="7"/>
    <s v="sem"/>
    <s v="sem"/>
    <n v="34166"/>
    <n v="36419"/>
    <n v="11065"/>
    <n v="11591"/>
    <n v="0"/>
    <n v="0"/>
    <n v="36649"/>
    <n v="37972"/>
    <n v="81880"/>
    <n v="2729.3333333333335"/>
    <n v="85982"/>
    <n v="2866.0666666666666"/>
    <n v="4035"/>
    <n v="4305"/>
    <n v="81880"/>
    <n v="85982"/>
    <n v="40854"/>
    <n v="63662"/>
    <n v="25293"/>
    <n v="43590"/>
    <n v="61969"/>
    <n v="54037"/>
    <n v="47570"/>
    <n v="30631"/>
    <n v="175686"/>
    <n v="195.20666666666668"/>
    <n v="191920"/>
    <n v="213.24444444444444"/>
    <m/>
    <m/>
    <n v="0"/>
    <n v="0"/>
  </r>
  <r>
    <x v="13"/>
    <s v="Weatherford College "/>
    <m/>
    <n v="229799"/>
    <x v="7"/>
    <s v="sem"/>
    <s v="sem"/>
    <n v="48336"/>
    <n v="49452"/>
    <n v="8837"/>
    <n v="8529"/>
    <n v="4777"/>
    <n v="4770"/>
    <n v="54551"/>
    <n v="52346"/>
    <n v="116501"/>
    <n v="3883.3666666666668"/>
    <n v="115097"/>
    <n v="3836.5666666666666"/>
    <n v="7474"/>
    <n v="7563"/>
    <n v="116501"/>
    <n v="115097"/>
    <n v="33977"/>
    <n v="38867"/>
    <n v="38794"/>
    <n v="41503"/>
    <n v="29697"/>
    <n v="22689"/>
    <n v="55961"/>
    <n v="67648"/>
    <n v="158429"/>
    <n v="176.03222222222223"/>
    <n v="170707"/>
    <n v="189.67444444444445"/>
    <m/>
    <m/>
    <n v="0"/>
    <n v="0"/>
  </r>
  <r>
    <x v="13"/>
    <s v="Wharton County Junior College "/>
    <m/>
    <n v="229841"/>
    <x v="7"/>
    <s v="sem"/>
    <s v="sem"/>
    <n v="60232"/>
    <n v="62408"/>
    <n v="13908"/>
    <n v="13918"/>
    <n v="6452"/>
    <n v="6525"/>
    <n v="64936"/>
    <n v="64170"/>
    <n v="145528"/>
    <n v="4850.9333333333334"/>
    <n v="147021"/>
    <n v="4900.7"/>
    <n v="9190"/>
    <n v="8090"/>
    <n v="145528"/>
    <n v="147021"/>
    <n v="9724"/>
    <n v="9360"/>
    <n v="5804"/>
    <n v="4824"/>
    <n v="24967"/>
    <n v="13930"/>
    <n v="24626"/>
    <n v="7454"/>
    <n v="65121"/>
    <n v="72.356666666666669"/>
    <n v="35568"/>
    <n v="39.520000000000003"/>
    <m/>
    <m/>
    <n v="0"/>
    <n v="0"/>
  </r>
  <r>
    <x v="13"/>
    <s v="Clarendon College "/>
    <m/>
    <n v="223922"/>
    <x v="8"/>
    <s v="sem"/>
    <s v="sem"/>
    <n v="14449"/>
    <n v="15450"/>
    <n v="1422"/>
    <n v="3282"/>
    <n v="3534"/>
    <n v="1606"/>
    <n v="15711"/>
    <n v="14358"/>
    <n v="35116"/>
    <n v="1170.5333333333333"/>
    <n v="34696"/>
    <n v="1156.5333333333333"/>
    <n v="4219"/>
    <n v="4409"/>
    <n v="35116"/>
    <n v="34696"/>
    <n v="4440"/>
    <n v="5602"/>
    <n v="11566"/>
    <n v="2425"/>
    <n v="568"/>
    <n v="3360"/>
    <n v="5478"/>
    <n v="5576"/>
    <n v="22052"/>
    <n v="24.502222222222223"/>
    <n v="16963"/>
    <n v="18.847777777777779"/>
    <m/>
    <m/>
    <n v="0"/>
    <n v="0"/>
  </r>
  <r>
    <x v="13"/>
    <s v="Frank Phillips College "/>
    <m/>
    <n v="224891"/>
    <x v="8"/>
    <s v="sem"/>
    <s v="sem"/>
    <n v="10739"/>
    <n v="10368"/>
    <n v="2292"/>
    <n v="2021"/>
    <n v="803"/>
    <n v="562"/>
    <n v="11733"/>
    <n v="9561"/>
    <n v="25567"/>
    <n v="852.23333333333335"/>
    <n v="22512"/>
    <n v="750.4"/>
    <n v="3282"/>
    <n v="3126"/>
    <n v="25567"/>
    <n v="22512"/>
    <n v="9973"/>
    <n v="14818"/>
    <n v="16636"/>
    <n v="25796"/>
    <n v="18736"/>
    <n v="31127"/>
    <n v="18924"/>
    <n v="31418"/>
    <n v="64269"/>
    <n v="71.41"/>
    <n v="103159"/>
    <n v="114.62111111111111"/>
    <m/>
    <m/>
    <n v="0"/>
    <n v="0"/>
  </r>
  <r>
    <x v="13"/>
    <s v="Galveston College "/>
    <m/>
    <n v="224961"/>
    <x v="8"/>
    <s v="sem"/>
    <s v="sem"/>
    <n v="18821"/>
    <n v="21048"/>
    <n v="3404"/>
    <n v="4600"/>
    <n v="4426"/>
    <n v="3411"/>
    <n v="19627"/>
    <n v="18833"/>
    <n v="46278"/>
    <n v="1542.6"/>
    <n v="47892"/>
    <n v="1596.4"/>
    <n v="2156"/>
    <n v="2272"/>
    <n v="46278"/>
    <n v="47892"/>
    <n v="11534"/>
    <n v="7218"/>
    <n v="5982"/>
    <n v="352"/>
    <n v="14318"/>
    <n v="1426"/>
    <n v="16324"/>
    <n v="5416"/>
    <n v="48158"/>
    <n v="53.50888888888889"/>
    <n v="14412"/>
    <n v="16.013333333333332"/>
    <m/>
    <m/>
    <n v="0"/>
    <n v="0"/>
  </r>
  <r>
    <x v="13"/>
    <s v="Lamar State College-Orange"/>
    <m/>
    <n v="226107"/>
    <x v="8"/>
    <s v="sem"/>
    <s v="sem"/>
    <n v="21302"/>
    <n v="23859"/>
    <n v="7599"/>
    <n v="7301"/>
    <n v="0"/>
    <n v="0"/>
    <n v="24693"/>
    <n v="24866"/>
    <n v="53594"/>
    <n v="1786.4666666666667"/>
    <n v="56026"/>
    <n v="1867.5333333333333"/>
    <n v="2111"/>
    <n v="3496"/>
    <n v="53594"/>
    <n v="56026"/>
    <n v="14287"/>
    <n v="3710"/>
    <n v="10594"/>
    <n v="6264"/>
    <n v="10326"/>
    <n v="9748"/>
    <n v="9658"/>
    <n v="5570"/>
    <n v="44865"/>
    <n v="49.85"/>
    <n v="25292"/>
    <n v="28.102222222222224"/>
    <m/>
    <m/>
    <n v="0"/>
    <n v="0"/>
  </r>
  <r>
    <x v="13"/>
    <s v="Lamar State College-Port Arthur"/>
    <s v="Met the criteria for Two-Year 2 in 2010-11 and 2011-12."/>
    <n v="226116"/>
    <x v="8"/>
    <s v="sem"/>
    <s v="sem"/>
    <n v="20317"/>
    <n v="24710"/>
    <n v="4059"/>
    <n v="8495"/>
    <n v="3404"/>
    <n v="3143"/>
    <n v="23154"/>
    <n v="22917"/>
    <n v="50934"/>
    <n v="1697.8"/>
    <n v="59265"/>
    <n v="1975.5"/>
    <n v="2363"/>
    <n v="2050"/>
    <n v="50934"/>
    <n v="59265"/>
    <n v="82932"/>
    <n v="79181"/>
    <n v="67716"/>
    <n v="68240"/>
    <n v="46918"/>
    <n v="53712"/>
    <n v="97408"/>
    <n v="97248"/>
    <n v="294974"/>
    <n v="327.74888888888887"/>
    <n v="298381"/>
    <n v="331.53444444444443"/>
    <m/>
    <m/>
    <n v="0"/>
    <n v="0"/>
  </r>
  <r>
    <x v="13"/>
    <s v="Northeast Lakeview College (ACCD)"/>
    <m/>
    <s v="???"/>
    <x v="8"/>
    <s v="sem"/>
    <s v="sem"/>
    <n v="4772"/>
    <n v="7011"/>
    <n v="634"/>
    <n v="608"/>
    <n v="262"/>
    <n v="0"/>
    <n v="8315"/>
    <n v="6307"/>
    <n v="13983"/>
    <n v="466.1"/>
    <n v="13926"/>
    <n v="464.2"/>
    <n v="9"/>
    <n v="13"/>
    <n v="13983"/>
    <n v="13926"/>
    <n v="4404"/>
    <n v="14184"/>
    <n v="6048"/>
    <n v="17464"/>
    <n v="9244"/>
    <n v="19808"/>
    <n v="17168"/>
    <n v="14280"/>
    <n v="36864"/>
    <n v="40.96"/>
    <n v="65736"/>
    <n v="73.040000000000006"/>
    <m/>
    <m/>
    <n v="0"/>
    <n v="0"/>
  </r>
  <r>
    <x v="13"/>
    <s v="Panola College"/>
    <m/>
    <n v="227386"/>
    <x v="8"/>
    <s v="sem"/>
    <s v="sem"/>
    <n v="19978"/>
    <n v="21103"/>
    <n v="4238"/>
    <n v="3884"/>
    <n v="1424"/>
    <n v="1652"/>
    <n v="22057"/>
    <n v="24407"/>
    <n v="47697"/>
    <n v="1589.9"/>
    <n v="51046"/>
    <n v="1701.5333333333333"/>
    <n v="3990"/>
    <n v="4557"/>
    <n v="47697"/>
    <n v="51046"/>
    <n v="12581"/>
    <n v="11636"/>
    <n v="16771"/>
    <n v="4801"/>
    <n v="10656"/>
    <n v="16276"/>
    <n v="9470"/>
    <n v="7011"/>
    <n v="49478"/>
    <n v="54.975555555555559"/>
    <n v="39724"/>
    <n v="44.137777777777778"/>
    <m/>
    <m/>
    <n v="0"/>
    <n v="0"/>
  </r>
  <r>
    <x v="13"/>
    <s v="Ranger College "/>
    <m/>
    <n v="227687"/>
    <x v="8"/>
    <s v="sem"/>
    <s v="sem"/>
    <n v="8613"/>
    <n v="13281"/>
    <n v="2289"/>
    <n v="3013"/>
    <n v="496"/>
    <n v="720"/>
    <n v="15194"/>
    <n v="17826"/>
    <n v="26592"/>
    <n v="886.4"/>
    <n v="34840"/>
    <n v="1161.3333333333333"/>
    <n v="4338"/>
    <n v="4096"/>
    <n v="26592"/>
    <n v="34840"/>
    <n v="5351"/>
    <n v="1235"/>
    <n v="4712"/>
    <n v="4892"/>
    <n v="5787"/>
    <n v="1552"/>
    <n v="831"/>
    <n v="756"/>
    <n v="16681"/>
    <n v="18.534444444444443"/>
    <n v="8435"/>
    <n v="9.3722222222222218"/>
    <m/>
    <m/>
    <n v="0"/>
    <n v="0"/>
  </r>
  <r>
    <x v="13"/>
    <s v="Southwest Collegiate Institute for the Deaf (HCJCD)"/>
    <m/>
    <n v="382911"/>
    <x v="8"/>
    <s v="sem"/>
    <s v="sem"/>
    <n v="1001"/>
    <n v="1056"/>
    <m/>
    <n v="27"/>
    <m/>
    <n v="21"/>
    <n v="1066"/>
    <n v="1615"/>
    <n v="2067"/>
    <n v="68.900000000000006"/>
    <n v="2719"/>
    <n v="90.63333333333334"/>
    <n v="0"/>
    <n v="66"/>
    <n v="2067"/>
    <n v="2719"/>
    <m/>
    <m/>
    <m/>
    <m/>
    <m/>
    <m/>
    <m/>
    <m/>
    <n v="0"/>
    <n v="0"/>
    <n v="0"/>
    <n v="0"/>
    <m/>
    <m/>
    <n v="0"/>
    <n v="0"/>
  </r>
  <r>
    <x v="13"/>
    <s v="Texas State Technical College-Marshall"/>
    <m/>
    <n v="408394"/>
    <x v="8"/>
    <s v="sem"/>
    <s v="sem"/>
    <n v="9206"/>
    <n v="8519"/>
    <n v="5669"/>
    <n v="5577"/>
    <n v="0"/>
    <n v="0"/>
    <n v="8900"/>
    <n v="7361"/>
    <n v="23775"/>
    <n v="792.5"/>
    <n v="21457"/>
    <n v="715.23333333333335"/>
    <n v="2424"/>
    <n v="1945"/>
    <n v="23775"/>
    <n v="21457"/>
    <n v="8516"/>
    <n v="4664"/>
    <n v="5784"/>
    <n v="8816"/>
    <n v="780"/>
    <n v="4812"/>
    <n v="884"/>
    <n v="3254"/>
    <n v="15964"/>
    <n v="17.737777777777779"/>
    <n v="21546"/>
    <n v="23.94"/>
    <m/>
    <m/>
    <n v="0"/>
    <n v="0"/>
  </r>
  <r>
    <x v="13"/>
    <s v="Texas State Technical College-West Texas"/>
    <m/>
    <n v="229328"/>
    <x v="8"/>
    <s v="sem"/>
    <s v="sem"/>
    <n v="15214"/>
    <n v="9998"/>
    <n v="11520"/>
    <n v="6966"/>
    <n v="0"/>
    <n v="0"/>
    <n v="11941"/>
    <n v="8244"/>
    <n v="38675"/>
    <n v="1289.1666666666667"/>
    <n v="25208"/>
    <n v="840.26666666666665"/>
    <n v="1450"/>
    <n v="1671"/>
    <n v="38675"/>
    <n v="25208"/>
    <n v="5849"/>
    <n v="1326"/>
    <n v="3994"/>
    <n v="2680"/>
    <n v="3591"/>
    <n v="1680"/>
    <n v="99"/>
    <n v="3806"/>
    <n v="13533"/>
    <n v="15.036666666666667"/>
    <n v="9492"/>
    <n v="10.546666666666667"/>
    <m/>
    <m/>
    <n v="0"/>
    <n v="0"/>
  </r>
  <r>
    <x v="13"/>
    <s v="Western Texas College "/>
    <m/>
    <n v="229832"/>
    <x v="8"/>
    <s v="sem"/>
    <s v="sem"/>
    <n v="18752"/>
    <n v="18588"/>
    <n v="5609"/>
    <n v="6757"/>
    <n v="3942"/>
    <n v="2025"/>
    <n v="18773"/>
    <n v="19091"/>
    <n v="47076"/>
    <n v="1569.2"/>
    <n v="46461"/>
    <n v="1548.7"/>
    <n v="6293"/>
    <n v="7647"/>
    <n v="47076"/>
    <n v="46461"/>
    <n v="62084"/>
    <n v="55834"/>
    <n v="58337"/>
    <n v="43685"/>
    <n v="38324"/>
    <n v="25964"/>
    <n v="48226"/>
    <n v="51524"/>
    <n v="206971"/>
    <n v="229.96777777777777"/>
    <n v="177007"/>
    <n v="196.67444444444445"/>
    <m/>
    <m/>
    <n v="0"/>
    <n v="0"/>
  </r>
  <r>
    <x v="13"/>
    <s v="University of North Texas at Dallas"/>
    <s v="New fall 2009. No degrees yet granted."/>
    <m/>
    <x v="12"/>
    <m/>
    <s v="sem"/>
    <m/>
    <m/>
    <n v="11169"/>
    <n v="12946"/>
    <n v="3000"/>
    <n v="3846"/>
    <n v="13632"/>
    <n v="14752"/>
    <n v="27801"/>
    <n v="926.7"/>
    <n v="31544"/>
    <n v="1051.4666666666667"/>
    <m/>
    <n v="0"/>
    <n v="0"/>
    <n v="31544"/>
    <m/>
    <m/>
    <m/>
    <m/>
    <m/>
    <m/>
    <m/>
    <m/>
    <n v="0"/>
    <n v="0"/>
    <n v="0"/>
    <n v="0"/>
    <m/>
    <m/>
    <n v="0"/>
    <n v="0"/>
  </r>
  <r>
    <x v="13"/>
    <s v="Texas A &amp; M University - Central Texas"/>
    <s v="New fall 2009. Met the criteria for Four-Year 4 in 2010-11 and 2011-12."/>
    <m/>
    <x v="12"/>
    <m/>
    <s v="sem"/>
    <m/>
    <m/>
    <n v="12512"/>
    <n v="12402"/>
    <n v="8082"/>
    <n v="8451"/>
    <n v="10510"/>
    <n v="10262"/>
    <n v="31104"/>
    <n v="1036.8"/>
    <n v="31115"/>
    <n v="1037.1666666666667"/>
    <m/>
    <n v="0"/>
    <n v="0"/>
    <n v="31115"/>
    <m/>
    <m/>
    <m/>
    <m/>
    <m/>
    <m/>
    <m/>
    <m/>
    <n v="0"/>
    <n v="0"/>
    <n v="0"/>
    <n v="0"/>
    <m/>
    <m/>
    <n v="0"/>
    <n v="0"/>
  </r>
  <r>
    <x v="13"/>
    <s v="Texas A &amp; M University - San Antonio"/>
    <s v="New fall 2009. Met the criteria for Four-Year 5 in 2010-11 and 2011-12."/>
    <s v="870501"/>
    <x v="12"/>
    <m/>
    <s v="sem"/>
    <m/>
    <m/>
    <n v="18064"/>
    <n v="21987"/>
    <n v="6416"/>
    <n v="6950"/>
    <n v="22386"/>
    <n v="25096"/>
    <n v="46866"/>
    <n v="1562.2"/>
    <n v="54033"/>
    <n v="1801.1"/>
    <m/>
    <n v="0"/>
    <n v="0"/>
    <n v="54033"/>
    <m/>
    <m/>
    <m/>
    <m/>
    <m/>
    <m/>
    <m/>
    <m/>
    <n v="0"/>
    <n v="0"/>
    <n v="0"/>
    <n v="0"/>
    <m/>
    <m/>
    <n v="0"/>
    <n v="0"/>
  </r>
  <r>
    <x v="13"/>
    <s v="Alamo Community College District (ACCD)"/>
    <m/>
    <m/>
    <x v="13"/>
    <s v="sem"/>
    <s v="sem"/>
    <n v="450022"/>
    <n v="454427"/>
    <n v="131169"/>
    <n v="129478"/>
    <n v="56942"/>
    <n v="45757"/>
    <n v="430805"/>
    <n v="438278"/>
    <n v="1068938"/>
    <n v="35631.26666666667"/>
    <n v="1067940"/>
    <n v="35598"/>
    <n v="77027"/>
    <n v="86103"/>
    <n v="1068938"/>
    <n v="1067940"/>
    <n v="413918"/>
    <n v="336581"/>
    <n v="368849"/>
    <n v="307577"/>
    <n v="337145"/>
    <n v="276608"/>
    <n v="464306"/>
    <n v="452407"/>
    <n v="1584218"/>
    <n v="1760.2422222222222"/>
    <n v="1373173"/>
    <n v="1525.7477777777779"/>
    <m/>
    <m/>
    <n v="0"/>
    <n v="0"/>
  </r>
  <r>
    <x v="13"/>
    <s v="Dallas County Community College District (DCCD)"/>
    <m/>
    <m/>
    <x v="13"/>
    <s v="sem"/>
    <s v="sem"/>
    <n v="397373"/>
    <n v="419174"/>
    <n v="132678"/>
    <n v="137858"/>
    <n v="53982"/>
    <n v="44173"/>
    <n v="369579"/>
    <n v="396897"/>
    <n v="953612"/>
    <n v="31787.066666666666"/>
    <n v="998102"/>
    <n v="33270.066666666666"/>
    <n v="59585"/>
    <n v="76982"/>
    <n v="953612"/>
    <n v="998102"/>
    <n v="702087"/>
    <n v="409440"/>
    <n v="661270"/>
    <n v="441972"/>
    <n v="784824"/>
    <n v="380325"/>
    <n v="803876"/>
    <n v="490360"/>
    <n v="2952057"/>
    <n v="3280.0633333333335"/>
    <n v="1722097"/>
    <n v="1913.441111111111"/>
    <m/>
    <m/>
    <n v="0"/>
    <n v="0"/>
  </r>
  <r>
    <x v="13"/>
    <s v="Dallas County Community College District (DCCD)"/>
    <m/>
    <m/>
    <x v="14"/>
    <s v="sem"/>
    <s v="sem"/>
    <n v="135267"/>
    <n v="144190"/>
    <n v="27603"/>
    <n v="22190"/>
    <n v="9997"/>
    <n v="10253"/>
    <n v="153741"/>
    <n v="147529"/>
    <n v="326608"/>
    <n v="10886.933333333332"/>
    <n v="324162"/>
    <n v="10805.4"/>
    <n v="15216"/>
    <n v="16539"/>
    <n v="326608"/>
    <n v="324162"/>
    <n v="119465"/>
    <n v="97164"/>
    <n v="136688"/>
    <n v="99119"/>
    <n v="100572"/>
    <n v="102046"/>
    <n v="108237"/>
    <n v="99600"/>
    <n v="464962"/>
    <n v="516.62444444444441"/>
    <n v="397929"/>
    <n v="442.14333333333332"/>
    <m/>
    <m/>
    <n v="0"/>
    <n v="0"/>
  </r>
  <r>
    <x v="13"/>
    <s v="Howard County Community/Junior College District (HCJCD)"/>
    <m/>
    <m/>
    <x v="14"/>
    <s v="sem"/>
    <s v="sem"/>
    <n v="35496"/>
    <n v="36112"/>
    <n v="8725"/>
    <n v="9727"/>
    <n v="7822"/>
    <n v="7532"/>
    <n v="35705"/>
    <n v="33935"/>
    <n v="87748"/>
    <n v="2924.9333333333334"/>
    <n v="87306"/>
    <n v="2910.2"/>
    <n v="7171"/>
    <n v="8066"/>
    <n v="87748"/>
    <n v="87306"/>
    <n v="70285"/>
    <n v="53328"/>
    <n v="65267"/>
    <n v="36974"/>
    <n v="63442"/>
    <n v="52758"/>
    <n v="63027"/>
    <n v="48765"/>
    <n v="262021"/>
    <n v="291.13444444444445"/>
    <n v="191825"/>
    <n v="213.13888888888889"/>
    <m/>
    <m/>
    <n v="0"/>
    <n v="0"/>
  </r>
  <r>
    <x v="13"/>
    <s v="Alamo Community College District (ACCD)"/>
    <m/>
    <m/>
    <x v="15"/>
    <s v="sem"/>
    <s v="sem"/>
    <n v="20317"/>
    <n v="24710"/>
    <n v="4059"/>
    <n v="8495"/>
    <n v="3404"/>
    <n v="3143"/>
    <n v="23154"/>
    <n v="22917"/>
    <n v="50934"/>
    <n v="1697.8"/>
    <n v="59265"/>
    <n v="1975.5"/>
    <n v="2363"/>
    <n v="2050"/>
    <n v="50934"/>
    <n v="59265"/>
    <n v="82932"/>
    <n v="79181"/>
    <n v="67716"/>
    <n v="68240"/>
    <n v="46918"/>
    <n v="53712"/>
    <n v="97408"/>
    <n v="97248"/>
    <n v="294974"/>
    <n v="327.74888888888887"/>
    <n v="298381"/>
    <n v="331.53444444444443"/>
    <m/>
    <m/>
    <n v="0"/>
    <n v="0"/>
  </r>
  <r>
    <x v="13"/>
    <s v="Howard County Community/Junior College District (HCJCD)"/>
    <m/>
    <m/>
    <x v="15"/>
    <s v="sem"/>
    <s v="sem"/>
    <n v="1001"/>
    <n v="1056"/>
    <n v="0"/>
    <n v="27"/>
    <n v="0"/>
    <n v="21"/>
    <n v="1066"/>
    <n v="1615"/>
    <n v="2067"/>
    <n v="68.900000000000006"/>
    <n v="2719"/>
    <n v="90.63333333333334"/>
    <n v="0"/>
    <n v="66"/>
    <n v="2067"/>
    <n v="2719"/>
    <n v="0"/>
    <n v="0"/>
    <n v="0"/>
    <n v="0"/>
    <n v="0"/>
    <n v="0"/>
    <n v="0"/>
    <n v="0"/>
    <n v="0"/>
    <n v="0"/>
    <n v="0"/>
    <n v="0"/>
    <m/>
    <m/>
    <n v="0"/>
    <n v="0"/>
  </r>
  <r>
    <x v="13"/>
    <s v="Alamo Community College District (ACCD)"/>
    <m/>
    <m/>
    <x v="16"/>
    <s v="sem"/>
    <s v="sem"/>
    <n v="470339"/>
    <n v="479137"/>
    <n v="135228"/>
    <n v="137973"/>
    <n v="60346"/>
    <n v="48900"/>
    <n v="453959"/>
    <n v="461195"/>
    <n v="1119872"/>
    <n v="37329.066666666666"/>
    <n v="1127205"/>
    <n v="37573.5"/>
    <n v="79390"/>
    <n v="88153"/>
    <n v="1119872"/>
    <n v="1127205"/>
    <n v="496850"/>
    <n v="415762"/>
    <n v="436565"/>
    <n v="375817"/>
    <n v="384063"/>
    <n v="330320"/>
    <n v="561714"/>
    <n v="549655"/>
    <n v="1879192"/>
    <n v="2087.991111111111"/>
    <n v="1671554"/>
    <n v="1857.2822222222221"/>
    <m/>
    <m/>
    <n v="0"/>
    <n v="0"/>
  </r>
  <r>
    <x v="13"/>
    <s v="Dallas County Community College District (DCCD)"/>
    <m/>
    <m/>
    <x v="16"/>
    <s v="sem"/>
    <s v="sem"/>
    <n v="532640"/>
    <n v="563364"/>
    <n v="160281"/>
    <n v="160048"/>
    <n v="63979"/>
    <n v="54426"/>
    <n v="523320"/>
    <n v="544426"/>
    <n v="1280220"/>
    <n v="42674"/>
    <n v="1322264"/>
    <n v="44075.466666666667"/>
    <n v="74801"/>
    <n v="93521"/>
    <n v="1280220"/>
    <n v="1322264"/>
    <n v="821552"/>
    <n v="506604"/>
    <n v="797958"/>
    <n v="541091"/>
    <n v="885396"/>
    <n v="482371"/>
    <n v="912113"/>
    <n v="589960"/>
    <n v="3417019"/>
    <n v="3796.6877777777777"/>
    <n v="2120026"/>
    <n v="2355.5844444444447"/>
    <m/>
    <m/>
    <n v="0"/>
    <n v="0"/>
  </r>
  <r>
    <x v="13"/>
    <s v="Howard County Community/Junior College District (HCJCD)"/>
    <m/>
    <m/>
    <x v="16"/>
    <s v="sem"/>
    <s v="sem"/>
    <n v="36497"/>
    <n v="37168"/>
    <n v="8725"/>
    <n v="9754"/>
    <n v="7822"/>
    <n v="7553"/>
    <n v="36771"/>
    <n v="35550"/>
    <n v="89815"/>
    <n v="2993.8333333333335"/>
    <n v="90025"/>
    <n v="3000.8333333333335"/>
    <n v="7171"/>
    <n v="8132"/>
    <n v="89815"/>
    <n v="90025"/>
    <n v="70285"/>
    <n v="53328"/>
    <n v="65267"/>
    <n v="36974"/>
    <n v="63442"/>
    <n v="52758"/>
    <n v="63027"/>
    <n v="48765"/>
    <n v="262021"/>
    <n v="291.13444444444445"/>
    <n v="191825"/>
    <n v="213.13888888888889"/>
    <m/>
    <m/>
    <n v="0"/>
    <n v="0"/>
  </r>
  <r>
    <x v="14"/>
    <s v="George Mason University "/>
    <m/>
    <n v="232186"/>
    <x v="0"/>
    <s v="sem"/>
    <s v="sem"/>
    <m/>
    <m/>
    <n v="242007"/>
    <n v="251312"/>
    <n v="44507"/>
    <n v="49339"/>
    <n v="260192.5"/>
    <n v="270328.5"/>
    <n v="546706.5"/>
    <n v="18223.55"/>
    <n v="570979.5"/>
    <n v="19032.650000000001"/>
    <n v="1881"/>
    <n v="24514"/>
    <n v="546706.5"/>
    <n v="570979.5"/>
    <m/>
    <m/>
    <m/>
    <m/>
    <m/>
    <m/>
    <m/>
    <m/>
    <n v="0"/>
    <n v="0"/>
    <n v="0"/>
    <n v="0"/>
    <m/>
    <m/>
    <n v="0"/>
    <n v="0"/>
  </r>
  <r>
    <x v="14"/>
    <s v="Old Dominion University "/>
    <m/>
    <n v="232982"/>
    <x v="0"/>
    <s v="sem"/>
    <s v="sem"/>
    <m/>
    <m/>
    <n v="206399"/>
    <n v="215941"/>
    <n v="49828"/>
    <n v="52395"/>
    <n v="228798"/>
    <n v="233487"/>
    <n v="485025"/>
    <n v="16167.5"/>
    <n v="501823"/>
    <n v="16727.433333333334"/>
    <n v="45"/>
    <n v="0"/>
    <n v="485025"/>
    <n v="501823"/>
    <m/>
    <m/>
    <m/>
    <m/>
    <m/>
    <m/>
    <m/>
    <m/>
    <n v="0"/>
    <n v="0"/>
    <n v="0"/>
    <n v="0"/>
    <m/>
    <m/>
    <n v="0"/>
    <n v="0"/>
  </r>
  <r>
    <x v="14"/>
    <s v="University of Virginia"/>
    <m/>
    <n v="234076"/>
    <x v="0"/>
    <s v="sem"/>
    <s v="sem"/>
    <m/>
    <m/>
    <n v="214562"/>
    <n v="216264"/>
    <n v="29113"/>
    <n v="30124"/>
    <n v="219298"/>
    <n v="221447.5"/>
    <n v="462973"/>
    <n v="15432.433333333332"/>
    <n v="467835.5"/>
    <n v="15594.516666666666"/>
    <n v="0"/>
    <n v="0"/>
    <n v="462973"/>
    <n v="467835.5"/>
    <m/>
    <m/>
    <m/>
    <m/>
    <m/>
    <m/>
    <m/>
    <m/>
    <n v="0"/>
    <n v="0"/>
    <n v="0"/>
    <n v="0"/>
    <m/>
    <m/>
    <n v="0"/>
    <n v="0"/>
  </r>
  <r>
    <x v="14"/>
    <s v="Virginia Tech "/>
    <m/>
    <n v="233921"/>
    <x v="0"/>
    <s v="sem"/>
    <s v="sem"/>
    <m/>
    <m/>
    <n v="342989"/>
    <n v="345606"/>
    <n v="36566"/>
    <n v="37992"/>
    <n v="365425"/>
    <n v="364620"/>
    <n v="744980"/>
    <n v="24832.666666666668"/>
    <n v="748218"/>
    <n v="24940.6"/>
    <n v="0"/>
    <n v="0"/>
    <n v="744980"/>
    <n v="748218"/>
    <m/>
    <m/>
    <m/>
    <m/>
    <m/>
    <m/>
    <m/>
    <m/>
    <n v="0"/>
    <n v="0"/>
    <n v="0"/>
    <n v="0"/>
    <m/>
    <m/>
    <n v="0"/>
    <n v="0"/>
  </r>
  <r>
    <x v="14"/>
    <s v="College of William &amp; Mary"/>
    <m/>
    <n v="231624"/>
    <x v="1"/>
    <s v="sem"/>
    <s v="sem"/>
    <m/>
    <m/>
    <n v="80616.5"/>
    <n v="80865.5"/>
    <n v="5790"/>
    <n v="8242"/>
    <n v="83030"/>
    <n v="86293.5"/>
    <n v="169436.5"/>
    <n v="5647.8833333333332"/>
    <n v="175401"/>
    <n v="5846.7"/>
    <n v="0"/>
    <n v="0"/>
    <n v="169436.5"/>
    <n v="175401"/>
    <m/>
    <m/>
    <m/>
    <m/>
    <m/>
    <m/>
    <m/>
    <m/>
    <n v="0"/>
    <n v="0"/>
    <n v="0"/>
    <n v="0"/>
    <m/>
    <m/>
    <n v="0"/>
    <n v="0"/>
  </r>
  <r>
    <x v="14"/>
    <s v="Virginia Commonwealth University"/>
    <s v="Met the criteria for Four-Year 1 in 2011-2012"/>
    <n v="234030"/>
    <x v="1"/>
    <s v="sem"/>
    <s v="sem"/>
    <m/>
    <m/>
    <n v="290545"/>
    <n v="290741"/>
    <n v="46445.5"/>
    <n v="43683.5"/>
    <n v="311372"/>
    <n v="315682"/>
    <n v="648362.5"/>
    <n v="21612.083333333332"/>
    <n v="650106.5"/>
    <n v="21670.216666666667"/>
    <n v="4740"/>
    <n v="7584"/>
    <n v="648362.5"/>
    <n v="650106.5"/>
    <m/>
    <m/>
    <m/>
    <m/>
    <m/>
    <m/>
    <m/>
    <m/>
    <n v="0"/>
    <n v="0"/>
    <n v="0"/>
    <n v="0"/>
    <m/>
    <m/>
    <n v="0"/>
    <n v="0"/>
  </r>
  <r>
    <x v="14"/>
    <s v="James Madison University  "/>
    <m/>
    <n v="232423"/>
    <x v="2"/>
    <s v="sem"/>
    <s v="sem"/>
    <m/>
    <m/>
    <n v="238297"/>
    <n v="243645"/>
    <n v="25570"/>
    <n v="27247"/>
    <n v="258230"/>
    <n v="262989"/>
    <n v="522097"/>
    <n v="17403.233333333334"/>
    <n v="533881"/>
    <n v="17796.033333333333"/>
    <n v="1774"/>
    <n v="5941"/>
    <n v="522097"/>
    <n v="533881"/>
    <m/>
    <m/>
    <m/>
    <m/>
    <m/>
    <m/>
    <m/>
    <m/>
    <n v="0"/>
    <n v="0"/>
    <n v="0"/>
    <n v="0"/>
    <m/>
    <m/>
    <n v="0"/>
    <n v="0"/>
  </r>
  <r>
    <x v="14"/>
    <s v="Norfolk State University "/>
    <m/>
    <n v="232937"/>
    <x v="2"/>
    <s v="sem"/>
    <s v="sem"/>
    <m/>
    <m/>
    <n v="70716"/>
    <n v="71365"/>
    <n v="10135"/>
    <n v="11666"/>
    <n v="75745"/>
    <n v="77677"/>
    <n v="156596"/>
    <n v="5219.8666666666668"/>
    <n v="160708"/>
    <n v="5356.9333333333334"/>
    <n v="111"/>
    <n v="183"/>
    <n v="156596"/>
    <n v="160708"/>
    <m/>
    <m/>
    <m/>
    <m/>
    <m/>
    <m/>
    <m/>
    <m/>
    <n v="0"/>
    <n v="0"/>
    <n v="0"/>
    <n v="0"/>
    <m/>
    <m/>
    <n v="0"/>
    <n v="0"/>
  </r>
  <r>
    <x v="14"/>
    <s v="Longwood University "/>
    <s v="Met the criteria for Four-Year 3 in 2011-2012"/>
    <n v="232566"/>
    <x v="3"/>
    <s v="sem"/>
    <s v="sem"/>
    <m/>
    <m/>
    <n v="56397"/>
    <n v="56290"/>
    <n v="7965"/>
    <n v="8967"/>
    <n v="60036"/>
    <n v="61455"/>
    <n v="124398"/>
    <n v="4146.6000000000004"/>
    <n v="126712"/>
    <n v="4223.7333333333336"/>
    <n v="9"/>
    <n v="14"/>
    <n v="124398"/>
    <n v="126712"/>
    <m/>
    <m/>
    <m/>
    <m/>
    <m/>
    <m/>
    <m/>
    <m/>
    <n v="0"/>
    <n v="0"/>
    <n v="0"/>
    <n v="0"/>
    <m/>
    <m/>
    <n v="0"/>
    <n v="0"/>
  </r>
  <r>
    <x v="14"/>
    <s v="Radford University"/>
    <s v="Met the criteria for Four-Year 3 in 2011-2012"/>
    <n v="233277"/>
    <x v="3"/>
    <s v="sem"/>
    <s v="sem"/>
    <m/>
    <m/>
    <n v="106960"/>
    <n v="109223"/>
    <n v="10904"/>
    <n v="11751"/>
    <n v="117746"/>
    <n v="123596"/>
    <n v="235610"/>
    <n v="7853.666666666667"/>
    <n v="244570"/>
    <n v="8152.333333333333"/>
    <n v="0"/>
    <n v="242"/>
    <n v="235610"/>
    <n v="244570"/>
    <m/>
    <m/>
    <m/>
    <m/>
    <m/>
    <m/>
    <m/>
    <m/>
    <n v="0"/>
    <n v="0"/>
    <n v="0"/>
    <n v="0"/>
    <m/>
    <m/>
    <n v="0"/>
    <n v="0"/>
  </r>
  <r>
    <x v="14"/>
    <s v="Virginia State University "/>
    <s v="Met the criteria for Four-Year 3 in 2011-2012"/>
    <n v="234155"/>
    <x v="3"/>
    <s v="sem"/>
    <s v="sem"/>
    <m/>
    <m/>
    <n v="68910"/>
    <n v="73263"/>
    <n v="5885"/>
    <n v="5926"/>
    <n v="77714"/>
    <n v="78398"/>
    <n v="152509"/>
    <n v="5083.6333333333332"/>
    <n v="157587"/>
    <n v="5252.9"/>
    <n v="0"/>
    <n v="0"/>
    <n v="152509"/>
    <n v="157587"/>
    <m/>
    <m/>
    <m/>
    <m/>
    <m/>
    <m/>
    <m/>
    <m/>
    <n v="0"/>
    <n v="0"/>
    <n v="0"/>
    <n v="0"/>
    <m/>
    <m/>
    <n v="0"/>
    <n v="0"/>
  </r>
  <r>
    <x v="14"/>
    <s v="Christopher Newport University"/>
    <s v="Met the criteria for Four-Year 4 in 2011-2012"/>
    <n v="231712"/>
    <x v="4"/>
    <s v="sem"/>
    <s v="sem"/>
    <m/>
    <m/>
    <n v="65400"/>
    <n v="67569"/>
    <n v="2895"/>
    <n v="2040"/>
    <n v="69799"/>
    <n v="71060"/>
    <n v="138094"/>
    <n v="4603.1333333333332"/>
    <n v="140669"/>
    <n v="4688.9666666666662"/>
    <n v="3"/>
    <n v="12"/>
    <n v="138094"/>
    <n v="140669"/>
    <m/>
    <m/>
    <m/>
    <m/>
    <m/>
    <m/>
    <m/>
    <m/>
    <n v="0"/>
    <n v="0"/>
    <n v="0"/>
    <n v="0"/>
    <m/>
    <m/>
    <n v="0"/>
    <n v="0"/>
  </r>
  <r>
    <x v="14"/>
    <s v="University of Mary Washington "/>
    <s v="Met the criteria for Four-Year 3 in 2011-2012"/>
    <n v="232681"/>
    <x v="4"/>
    <s v="sem"/>
    <s v="sem"/>
    <m/>
    <m/>
    <n v="58105"/>
    <n v="58309"/>
    <n v="7189"/>
    <n v="7097"/>
    <n v="61011"/>
    <n v="61385"/>
    <n v="126305"/>
    <n v="4210.166666666667"/>
    <n v="126791"/>
    <n v="4226.3666666666668"/>
    <n v="32"/>
    <n v="18"/>
    <n v="126305"/>
    <n v="126791"/>
    <m/>
    <m/>
    <m/>
    <m/>
    <m/>
    <m/>
    <m/>
    <m/>
    <n v="0"/>
    <n v="0"/>
    <n v="0"/>
    <n v="0"/>
    <m/>
    <m/>
    <n v="0"/>
    <n v="0"/>
  </r>
  <r>
    <x v="14"/>
    <s v="University of Virginia's College at Wise "/>
    <m/>
    <n v="233897"/>
    <x v="5"/>
    <s v="sem"/>
    <s v="sem"/>
    <m/>
    <m/>
    <n v="21491.5"/>
    <n v="23807"/>
    <n v="3114.5"/>
    <n v="2810"/>
    <n v="26093.3"/>
    <n v="25093"/>
    <n v="50699.3"/>
    <n v="1689.9766666666667"/>
    <n v="51710"/>
    <n v="1723.6666666666667"/>
    <n v="142"/>
    <n v="81"/>
    <n v="50699.3"/>
    <n v="51710"/>
    <m/>
    <m/>
    <m/>
    <m/>
    <m/>
    <m/>
    <m/>
    <m/>
    <n v="0"/>
    <n v="0"/>
    <n v="0"/>
    <n v="0"/>
    <m/>
    <m/>
    <n v="0"/>
    <n v="0"/>
  </r>
  <r>
    <x v="14"/>
    <s v="J.S. Reynolds Community College"/>
    <m/>
    <n v="232414"/>
    <x v="6"/>
    <s v="sem"/>
    <s v="sem"/>
    <m/>
    <m/>
    <n v="103618"/>
    <n v="105802"/>
    <n v="34677"/>
    <n v="39720"/>
    <n v="105935"/>
    <n v="113193"/>
    <n v="244230"/>
    <n v="8141"/>
    <n v="258715"/>
    <n v="8623.8333333333339"/>
    <n v="15164"/>
    <n v="14126"/>
    <n v="244230"/>
    <n v="258715"/>
    <m/>
    <m/>
    <m/>
    <m/>
    <m/>
    <m/>
    <m/>
    <m/>
    <n v="0"/>
    <n v="0"/>
    <n v="0"/>
    <n v="0"/>
    <m/>
    <m/>
    <n v="0"/>
    <n v="0"/>
  </r>
  <r>
    <x v="14"/>
    <s v="Northern Virginia Community College "/>
    <m/>
    <n v="232946"/>
    <x v="6"/>
    <s v="sem"/>
    <s v="sem"/>
    <m/>
    <m/>
    <n v="407537"/>
    <n v="428468"/>
    <n v="152887"/>
    <n v="171453"/>
    <n v="440977"/>
    <n v="451626"/>
    <n v="1001401"/>
    <n v="33380.033333333333"/>
    <n v="1051547"/>
    <n v="35051.566666666666"/>
    <n v="18213"/>
    <n v="30567"/>
    <n v="1001401"/>
    <n v="1051547"/>
    <m/>
    <m/>
    <m/>
    <m/>
    <m/>
    <m/>
    <m/>
    <m/>
    <n v="0"/>
    <n v="0"/>
    <n v="0"/>
    <n v="0"/>
    <m/>
    <m/>
    <n v="0"/>
    <n v="0"/>
  </r>
  <r>
    <x v="14"/>
    <s v="Thomas Nelson Community College "/>
    <m/>
    <n v="233754"/>
    <x v="6"/>
    <s v="sem"/>
    <s v="sem"/>
    <m/>
    <m/>
    <n v="84453"/>
    <n v="92841"/>
    <n v="23468"/>
    <n v="25516"/>
    <n v="97009"/>
    <n v="96969"/>
    <n v="204930"/>
    <n v="6831"/>
    <n v="215326"/>
    <n v="7177.5333333333338"/>
    <n v="14118"/>
    <n v="16781"/>
    <n v="204930"/>
    <n v="215326"/>
    <m/>
    <m/>
    <m/>
    <m/>
    <m/>
    <m/>
    <m/>
    <m/>
    <n v="0"/>
    <n v="0"/>
    <n v="0"/>
    <n v="0"/>
    <m/>
    <m/>
    <n v="0"/>
    <n v="0"/>
  </r>
  <r>
    <x v="14"/>
    <s v="Tidewater Community College "/>
    <m/>
    <n v="233772"/>
    <x v="6"/>
    <s v="sem"/>
    <s v="sem"/>
    <m/>
    <m/>
    <n v="283274"/>
    <n v="289680"/>
    <n v="84265"/>
    <n v="101078"/>
    <n v="290297"/>
    <n v="300192"/>
    <n v="657836"/>
    <n v="21927.866666666665"/>
    <n v="690950"/>
    <n v="23031.666666666668"/>
    <n v="17759"/>
    <n v="20115"/>
    <n v="657836"/>
    <n v="690950"/>
    <m/>
    <m/>
    <m/>
    <m/>
    <m/>
    <m/>
    <m/>
    <m/>
    <n v="0"/>
    <n v="0"/>
    <n v="0"/>
    <n v="0"/>
    <m/>
    <m/>
    <n v="0"/>
    <n v="0"/>
  </r>
  <r>
    <x v="14"/>
    <s v="Blue Ridge Community College "/>
    <m/>
    <n v="231536"/>
    <x v="7"/>
    <s v="sem"/>
    <s v="sem"/>
    <m/>
    <m/>
    <n v="40927"/>
    <n v="40796"/>
    <n v="9331"/>
    <n v="10988"/>
    <n v="45041"/>
    <n v="42740"/>
    <n v="95299"/>
    <n v="3176.6333333333332"/>
    <n v="94524"/>
    <n v="3150.8"/>
    <n v="8799"/>
    <n v="10679"/>
    <n v="95299"/>
    <n v="94524"/>
    <m/>
    <m/>
    <m/>
    <m/>
    <m/>
    <m/>
    <m/>
    <m/>
    <n v="0"/>
    <n v="0"/>
    <n v="0"/>
    <n v="0"/>
    <m/>
    <m/>
    <n v="0"/>
    <n v="0"/>
  </r>
  <r>
    <x v="14"/>
    <s v="Central Virginia Community College "/>
    <m/>
    <n v="231697"/>
    <x v="7"/>
    <s v="sem"/>
    <s v="sem"/>
    <m/>
    <m/>
    <n v="36131"/>
    <n v="36115"/>
    <n v="10151"/>
    <n v="10448"/>
    <n v="42031"/>
    <n v="41438"/>
    <n v="88313"/>
    <n v="2943.7666666666669"/>
    <n v="88001"/>
    <n v="2933.3666666666668"/>
    <n v="19301"/>
    <n v="26983"/>
    <n v="88313"/>
    <n v="88001"/>
    <m/>
    <m/>
    <m/>
    <m/>
    <m/>
    <m/>
    <m/>
    <m/>
    <n v="0"/>
    <n v="0"/>
    <n v="0"/>
    <n v="0"/>
    <m/>
    <m/>
    <n v="0"/>
    <n v="0"/>
  </r>
  <r>
    <x v="14"/>
    <s v="Danville Community College "/>
    <m/>
    <n v="231882"/>
    <x v="7"/>
    <s v="sem"/>
    <s v="sem"/>
    <m/>
    <m/>
    <n v="38408"/>
    <n v="37477"/>
    <n v="11946"/>
    <n v="11377"/>
    <n v="38458"/>
    <n v="36528"/>
    <n v="88812"/>
    <n v="2960.4"/>
    <n v="85382"/>
    <n v="2846.0666666666666"/>
    <n v="18476"/>
    <n v="23368"/>
    <n v="88812"/>
    <n v="85382"/>
    <m/>
    <m/>
    <m/>
    <m/>
    <m/>
    <m/>
    <m/>
    <m/>
    <n v="0"/>
    <n v="0"/>
    <n v="0"/>
    <n v="0"/>
    <m/>
    <m/>
    <n v="0"/>
    <n v="0"/>
  </r>
  <r>
    <x v="14"/>
    <s v="Germanna Community College"/>
    <m/>
    <n v="232195"/>
    <x v="7"/>
    <s v="sem"/>
    <s v="sem"/>
    <m/>
    <m/>
    <n v="54691"/>
    <n v="58341"/>
    <n v="13904"/>
    <n v="15767"/>
    <n v="63362"/>
    <n v="65793"/>
    <n v="131957"/>
    <n v="4398.5666666666666"/>
    <n v="139901"/>
    <n v="4663.3666666666668"/>
    <n v="15081"/>
    <n v="19212"/>
    <n v="131957"/>
    <n v="139901"/>
    <m/>
    <m/>
    <m/>
    <m/>
    <m/>
    <m/>
    <m/>
    <m/>
    <n v="0"/>
    <n v="0"/>
    <n v="0"/>
    <n v="0"/>
    <m/>
    <m/>
    <n v="0"/>
    <n v="0"/>
  </r>
  <r>
    <x v="14"/>
    <s v="John Tyler Community College"/>
    <s v="Met the criteria for Two-Year 1 in 2011-12."/>
    <n v="232450"/>
    <x v="7"/>
    <s v="sem"/>
    <s v="sem"/>
    <m/>
    <m/>
    <n v="76586"/>
    <n v="79717"/>
    <n v="19164"/>
    <n v="23115"/>
    <n v="85824"/>
    <n v="87506"/>
    <n v="181574"/>
    <n v="6052.4666666666662"/>
    <n v="190338"/>
    <n v="6344.6"/>
    <n v="31806"/>
    <n v="43654"/>
    <n v="181574"/>
    <n v="190338"/>
    <m/>
    <m/>
    <m/>
    <m/>
    <m/>
    <m/>
    <m/>
    <m/>
    <n v="0"/>
    <n v="0"/>
    <n v="0"/>
    <n v="0"/>
    <m/>
    <m/>
    <n v="0"/>
    <n v="0"/>
  </r>
  <r>
    <x v="14"/>
    <s v="Lord Fairfax Community College  "/>
    <m/>
    <n v="232575"/>
    <x v="7"/>
    <s v="sem"/>
    <s v="sem"/>
    <m/>
    <m/>
    <n v="48497"/>
    <n v="50883"/>
    <n v="12054"/>
    <n v="13294"/>
    <n v="57193"/>
    <n v="59746"/>
    <n v="117744"/>
    <n v="3924.8"/>
    <n v="123923"/>
    <n v="4130.7666666666664"/>
    <n v="28078"/>
    <n v="39380"/>
    <n v="117744"/>
    <n v="123923"/>
    <m/>
    <m/>
    <m/>
    <m/>
    <m/>
    <m/>
    <m/>
    <m/>
    <n v="0"/>
    <n v="0"/>
    <n v="0"/>
    <n v="0"/>
    <m/>
    <m/>
    <n v="0"/>
    <n v="0"/>
  </r>
  <r>
    <x v="14"/>
    <s v="New River Community College "/>
    <m/>
    <n v="232867"/>
    <x v="7"/>
    <s v="sem"/>
    <s v="sem"/>
    <m/>
    <m/>
    <n v="46352"/>
    <n v="43252"/>
    <n v="10131"/>
    <n v="11555"/>
    <n v="44692"/>
    <n v="45359"/>
    <n v="101175"/>
    <n v="3372.5"/>
    <n v="100166"/>
    <n v="3338.8666666666668"/>
    <n v="20048"/>
    <n v="26689"/>
    <n v="101175"/>
    <n v="100166"/>
    <m/>
    <m/>
    <m/>
    <m/>
    <m/>
    <m/>
    <m/>
    <m/>
    <n v="0"/>
    <n v="0"/>
    <n v="0"/>
    <n v="0"/>
    <m/>
    <m/>
    <n v="0"/>
    <n v="0"/>
  </r>
  <r>
    <x v="14"/>
    <s v="Patrick Henry Community College "/>
    <s v="Reclassified: Met the criteria for Two-Year 2 in 2009-10, 2010-11, and 2011-12."/>
    <n v="233019"/>
    <x v="7"/>
    <s v="sem"/>
    <s v="sem"/>
    <m/>
    <m/>
    <n v="33689"/>
    <n v="31372"/>
    <n v="9613"/>
    <n v="10053"/>
    <n v="32945"/>
    <n v="33634"/>
    <n v="76247"/>
    <n v="2541.5666666666666"/>
    <n v="75059"/>
    <n v="2501.9666666666667"/>
    <n v="18414"/>
    <n v="20496"/>
    <n v="76247"/>
    <n v="75059"/>
    <m/>
    <m/>
    <m/>
    <m/>
    <m/>
    <m/>
    <m/>
    <m/>
    <n v="0"/>
    <n v="0"/>
    <n v="0"/>
    <n v="0"/>
    <m/>
    <m/>
    <n v="0"/>
    <n v="0"/>
  </r>
  <r>
    <x v="14"/>
    <s v="Piedmont Virginia Community College "/>
    <m/>
    <n v="233116"/>
    <x v="7"/>
    <s v="sem"/>
    <s v="sem"/>
    <m/>
    <m/>
    <n v="37623"/>
    <n v="40280"/>
    <n v="8842"/>
    <n v="9578"/>
    <n v="41898"/>
    <n v="41772"/>
    <n v="88363"/>
    <n v="2945.4333333333334"/>
    <n v="91630"/>
    <n v="3054.3333333333335"/>
    <n v="18025"/>
    <n v="23669"/>
    <n v="88363"/>
    <n v="91630"/>
    <m/>
    <m/>
    <m/>
    <m/>
    <m/>
    <m/>
    <m/>
    <m/>
    <n v="0"/>
    <n v="0"/>
    <n v="0"/>
    <n v="0"/>
    <m/>
    <m/>
    <n v="0"/>
    <n v="0"/>
  </r>
  <r>
    <x v="14"/>
    <s v="Southside Virginia Community College  "/>
    <m/>
    <n v="233639"/>
    <x v="7"/>
    <s v="sem"/>
    <s v="sem"/>
    <m/>
    <m/>
    <n v="49019"/>
    <n v="49468"/>
    <n v="14093"/>
    <n v="15851"/>
    <n v="52501"/>
    <n v="54965"/>
    <n v="115613"/>
    <n v="3853.7666666666669"/>
    <n v="120284"/>
    <n v="4009.4666666666667"/>
    <n v="41208"/>
    <n v="56952"/>
    <n v="115613"/>
    <n v="120284"/>
    <m/>
    <m/>
    <m/>
    <m/>
    <m/>
    <m/>
    <m/>
    <m/>
    <n v="0"/>
    <n v="0"/>
    <n v="0"/>
    <n v="0"/>
    <m/>
    <m/>
    <n v="0"/>
    <n v="0"/>
  </r>
  <r>
    <x v="14"/>
    <s v="Southwest Virginia Community College "/>
    <m/>
    <n v="233648"/>
    <x v="7"/>
    <s v="sem"/>
    <s v="sem"/>
    <m/>
    <m/>
    <n v="30522"/>
    <n v="28095"/>
    <n v="12046"/>
    <n v="9907"/>
    <n v="32577"/>
    <n v="28828"/>
    <n v="75145"/>
    <n v="2504.8333333333335"/>
    <n v="66830"/>
    <n v="2227.6666666666665"/>
    <n v="14191"/>
    <n v="20545"/>
    <n v="75145"/>
    <n v="66830"/>
    <m/>
    <m/>
    <m/>
    <m/>
    <m/>
    <m/>
    <m/>
    <m/>
    <n v="0"/>
    <n v="0"/>
    <n v="0"/>
    <n v="0"/>
    <m/>
    <m/>
    <n v="0"/>
    <n v="0"/>
  </r>
  <r>
    <x v="14"/>
    <s v="Virginia Western Community College "/>
    <m/>
    <n v="233949"/>
    <x v="7"/>
    <s v="sem"/>
    <s v="sem"/>
    <m/>
    <m/>
    <n v="63846"/>
    <n v="64855"/>
    <n v="15843"/>
    <n v="16210"/>
    <n v="68163"/>
    <n v="66680"/>
    <n v="147852"/>
    <n v="4928.3999999999996"/>
    <n v="147745"/>
    <n v="4924.833333333333"/>
    <n v="28671"/>
    <n v="36689"/>
    <n v="147852"/>
    <n v="147745"/>
    <m/>
    <m/>
    <m/>
    <m/>
    <m/>
    <m/>
    <m/>
    <m/>
    <n v="0"/>
    <n v="0"/>
    <n v="0"/>
    <n v="0"/>
    <m/>
    <m/>
    <n v="0"/>
    <n v="0"/>
  </r>
  <r>
    <x v="14"/>
    <s v="Wytheville Community College "/>
    <s v="Reclassified: Met the criteria for Two-Year 2 in 2009-10, 2010-11, and 2011-12."/>
    <n v="234377"/>
    <x v="7"/>
    <s v="sem"/>
    <s v="sem"/>
    <m/>
    <m/>
    <n v="30836"/>
    <n v="30591"/>
    <n v="10206"/>
    <n v="11004"/>
    <n v="33082"/>
    <n v="31021"/>
    <n v="74124"/>
    <n v="2470.8000000000002"/>
    <n v="72616"/>
    <n v="2420.5333333333333"/>
    <n v="17093"/>
    <n v="22857"/>
    <n v="74124"/>
    <n v="72616"/>
    <m/>
    <m/>
    <m/>
    <m/>
    <m/>
    <m/>
    <m/>
    <m/>
    <n v="0"/>
    <n v="0"/>
    <n v="0"/>
    <n v="0"/>
    <m/>
    <m/>
    <n v="0"/>
    <n v="0"/>
  </r>
  <r>
    <x v="14"/>
    <s v="D.S. Lancaster Community College "/>
    <m/>
    <n v="231873"/>
    <x v="8"/>
    <s v="sem"/>
    <s v="sem"/>
    <m/>
    <m/>
    <n v="10836"/>
    <n v="11099"/>
    <n v="2514"/>
    <n v="2749"/>
    <n v="12739"/>
    <n v="12784"/>
    <n v="26089"/>
    <n v="869.63333333333333"/>
    <n v="26632"/>
    <n v="887.73333333333335"/>
    <n v="6884"/>
    <n v="8949"/>
    <n v="26089"/>
    <n v="26632"/>
    <m/>
    <m/>
    <m/>
    <m/>
    <m/>
    <m/>
    <m/>
    <m/>
    <n v="0"/>
    <n v="0"/>
    <n v="0"/>
    <n v="0"/>
    <m/>
    <m/>
    <n v="0"/>
    <n v="0"/>
  </r>
  <r>
    <x v="14"/>
    <s v="Eastern Shore Community College  "/>
    <m/>
    <n v="232052"/>
    <x v="8"/>
    <s v="sem"/>
    <s v="sem"/>
    <m/>
    <m/>
    <n v="9319"/>
    <n v="9373"/>
    <n v="1774"/>
    <n v="1746"/>
    <n v="9511"/>
    <n v="9093"/>
    <n v="20604"/>
    <n v="686.8"/>
    <n v="20212"/>
    <n v="673.73333333333335"/>
    <n v="4020"/>
    <n v="5181"/>
    <n v="20604"/>
    <n v="20212"/>
    <m/>
    <m/>
    <m/>
    <m/>
    <m/>
    <m/>
    <m/>
    <m/>
    <n v="0"/>
    <n v="0"/>
    <n v="0"/>
    <n v="0"/>
    <m/>
    <m/>
    <n v="0"/>
    <n v="0"/>
  </r>
  <r>
    <x v="14"/>
    <s v="Mountain Empire Community College"/>
    <s v="Met the criteria for Two-Year 2 in 2010-11 and 2011-12."/>
    <n v="232788"/>
    <x v="8"/>
    <s v="sem"/>
    <s v="sem"/>
    <m/>
    <m/>
    <n v="26113"/>
    <n v="27184"/>
    <n v="7553"/>
    <n v="8105"/>
    <n v="32281"/>
    <n v="29806"/>
    <n v="65947"/>
    <n v="2198.2333333333331"/>
    <n v="65095"/>
    <n v="2169.8333333333335"/>
    <n v="15902"/>
    <n v="20685"/>
    <n v="65947"/>
    <n v="65095"/>
    <m/>
    <m/>
    <m/>
    <m/>
    <m/>
    <m/>
    <m/>
    <m/>
    <n v="0"/>
    <n v="0"/>
    <n v="0"/>
    <n v="0"/>
    <m/>
    <m/>
    <n v="0"/>
    <n v="0"/>
  </r>
  <r>
    <x v="14"/>
    <s v="Paul D. Camp Community College  "/>
    <m/>
    <n v="233037"/>
    <x v="8"/>
    <s v="sem"/>
    <s v="sem"/>
    <m/>
    <m/>
    <n v="13540"/>
    <n v="13573"/>
    <n v="3562"/>
    <n v="5713"/>
    <n v="13649"/>
    <n v="13923"/>
    <n v="30751"/>
    <n v="1025.0333333333333"/>
    <n v="33209"/>
    <n v="1106.9666666666667"/>
    <n v="6153"/>
    <n v="8874"/>
    <n v="30751"/>
    <n v="33209"/>
    <m/>
    <m/>
    <m/>
    <m/>
    <m/>
    <m/>
    <m/>
    <m/>
    <n v="0"/>
    <n v="0"/>
    <n v="0"/>
    <n v="0"/>
    <m/>
    <m/>
    <n v="0"/>
    <n v="0"/>
  </r>
  <r>
    <x v="14"/>
    <s v="Rappahannock Community College  "/>
    <s v="Met the criteria for Two-Year 2 in 2011-12."/>
    <n v="233310"/>
    <x v="8"/>
    <s v="sem"/>
    <s v="sem"/>
    <m/>
    <m/>
    <n v="24645"/>
    <n v="26314"/>
    <n v="4982"/>
    <n v="6466"/>
    <n v="28641"/>
    <n v="28026"/>
    <n v="58268"/>
    <n v="1942.2666666666667"/>
    <n v="60806"/>
    <n v="2026.8666666666666"/>
    <n v="27222"/>
    <n v="39065"/>
    <n v="58268"/>
    <n v="60806"/>
    <m/>
    <m/>
    <m/>
    <m/>
    <m/>
    <m/>
    <m/>
    <m/>
    <n v="0"/>
    <n v="0"/>
    <n v="0"/>
    <n v="0"/>
    <m/>
    <m/>
    <n v="0"/>
    <n v="0"/>
  </r>
  <r>
    <x v="14"/>
    <s v="Richard Bland College "/>
    <m/>
    <n v="233338"/>
    <x v="8"/>
    <s v="sem"/>
    <s v="sem"/>
    <m/>
    <m/>
    <n v="15027"/>
    <n v="15096"/>
    <n v="3102"/>
    <n v="2853"/>
    <n v="17080"/>
    <n v="17304"/>
    <n v="35209"/>
    <n v="1173.6333333333334"/>
    <n v="35253"/>
    <n v="1175.0999999999999"/>
    <n v="3248"/>
    <n v="4287"/>
    <n v="35209"/>
    <n v="35253"/>
    <m/>
    <m/>
    <m/>
    <m/>
    <m/>
    <m/>
    <m/>
    <m/>
    <n v="0"/>
    <n v="0"/>
    <n v="0"/>
    <n v="0"/>
    <m/>
    <m/>
    <n v="0"/>
    <n v="0"/>
  </r>
  <r>
    <x v="14"/>
    <s v="Virginia Highlands Community College "/>
    <m/>
    <n v="233903"/>
    <x v="8"/>
    <s v="sem"/>
    <s v="sem"/>
    <m/>
    <m/>
    <n v="22541"/>
    <n v="23290"/>
    <n v="5811"/>
    <n v="5333"/>
    <n v="27771"/>
    <n v="26350"/>
    <n v="56123"/>
    <n v="1870.7666666666667"/>
    <n v="54973"/>
    <n v="1832.4333333333334"/>
    <n v="10194"/>
    <n v="15623"/>
    <n v="56123"/>
    <n v="54973"/>
    <m/>
    <m/>
    <m/>
    <m/>
    <m/>
    <m/>
    <m/>
    <m/>
    <n v="0"/>
    <n v="0"/>
    <n v="0"/>
    <n v="0"/>
    <m/>
    <m/>
    <n v="0"/>
    <n v="0"/>
  </r>
  <r>
    <x v="14"/>
    <m/>
    <s v="all 8's"/>
    <m/>
    <x v="13"/>
    <m/>
    <m/>
    <m/>
    <m/>
    <n v="878882"/>
    <n v="916791"/>
    <n v="295297"/>
    <n v="337767"/>
    <n v="934218"/>
    <n v="961980"/>
    <n v="2108397"/>
    <n v="70279.899999999994"/>
    <n v="2216538"/>
    <n v="73884.600000000006"/>
    <n v="65254"/>
    <n v="81589"/>
    <n v="2108397"/>
    <n v="2216538"/>
    <m/>
    <m/>
    <m/>
    <m/>
    <m/>
    <m/>
    <m/>
    <m/>
    <n v="0"/>
    <n v="0"/>
    <n v="0"/>
    <n v="0"/>
    <m/>
    <m/>
    <n v="0"/>
    <n v="0"/>
  </r>
  <r>
    <x v="14"/>
    <m/>
    <s v="all 9's"/>
    <m/>
    <x v="14"/>
    <m/>
    <m/>
    <m/>
    <m/>
    <n v="587127"/>
    <n v="591242"/>
    <n v="157324"/>
    <n v="169147"/>
    <n v="637767"/>
    <n v="636010"/>
    <n v="1382218"/>
    <n v="46073.933333333334"/>
    <n v="1396399"/>
    <n v="46546.633333333331"/>
    <n v="279191"/>
    <n v="371173"/>
    <n v="1382218"/>
    <n v="1396399"/>
    <m/>
    <m/>
    <m/>
    <m/>
    <m/>
    <m/>
    <m/>
    <m/>
    <n v="0"/>
    <n v="0"/>
    <n v="0"/>
    <n v="0"/>
    <m/>
    <m/>
    <n v="0"/>
    <n v="0"/>
  </r>
  <r>
    <x v="14"/>
    <m/>
    <s v="All'10's except R.B."/>
    <m/>
    <x v="15"/>
    <m/>
    <m/>
    <m/>
    <m/>
    <n v="106994"/>
    <n v="110833"/>
    <n v="26196"/>
    <n v="30112"/>
    <n v="124592"/>
    <n v="119982"/>
    <n v="257782"/>
    <n v="8592.7333333333336"/>
    <n v="260927"/>
    <n v="8697.5666666666675"/>
    <n v="70375"/>
    <n v="98377"/>
    <n v="257782"/>
    <n v="260927"/>
    <m/>
    <m/>
    <m/>
    <m/>
    <m/>
    <m/>
    <m/>
    <m/>
    <n v="0"/>
    <n v="0"/>
    <n v="0"/>
    <n v="0"/>
    <m/>
    <m/>
    <n v="0"/>
    <n v="0"/>
  </r>
  <r>
    <x v="14"/>
    <s v="Richard Bland College B"/>
    <m/>
    <n v="233338"/>
    <x v="15"/>
    <s v="sem"/>
    <s v="sem"/>
    <m/>
    <m/>
    <n v="24645"/>
    <n v="26314"/>
    <n v="4982"/>
    <n v="6466"/>
    <n v="28641"/>
    <n v="28026"/>
    <n v="58268"/>
    <n v="1942.2666666666667"/>
    <n v="60806"/>
    <n v="2026.8666666666666"/>
    <n v="27222"/>
    <n v="39065"/>
    <n v="58268"/>
    <n v="60806"/>
    <m/>
    <m/>
    <m/>
    <m/>
    <m/>
    <m/>
    <m/>
    <m/>
    <n v="0"/>
    <n v="0"/>
    <n v="0"/>
    <n v="0"/>
    <m/>
    <m/>
    <n v="0"/>
    <n v="0"/>
  </r>
  <r>
    <x v="14"/>
    <s v="All Community Colleges except R. Bland"/>
    <m/>
    <s v="All CC - Bland"/>
    <x v="16"/>
    <s v="sem"/>
    <s v="sem"/>
    <m/>
    <m/>
    <n v="1563385"/>
    <n v="1607648"/>
    <n v="476937"/>
    <n v="533413"/>
    <n v="1685016"/>
    <n v="1707250"/>
    <n v="3725338"/>
    <n v="124177.93333333333"/>
    <n v="3848311"/>
    <n v="128277.03333333334"/>
    <n v="390846"/>
    <n v="516361"/>
    <n v="3725338"/>
    <n v="3848311"/>
    <m/>
    <m/>
    <m/>
    <m/>
    <m/>
    <m/>
    <m/>
    <m/>
    <n v="0"/>
    <n v="0"/>
    <n v="0"/>
    <n v="0"/>
    <m/>
    <m/>
    <n v="0"/>
    <n v="0"/>
  </r>
  <r>
    <x v="15"/>
    <s v="West Virginia University"/>
    <m/>
    <n v="238032"/>
    <x v="0"/>
    <s v="sem"/>
    <s v="sem"/>
    <m/>
    <m/>
    <n v="286279"/>
    <n v="292311"/>
    <n v="39450"/>
    <n v="40962"/>
    <n v="317706"/>
    <n v="322365"/>
    <n v="643435"/>
    <n v="21447.833333333332"/>
    <n v="655638"/>
    <n v="21854.6"/>
    <n v="2849"/>
    <n v="3023"/>
    <n v="643435"/>
    <n v="655638"/>
    <m/>
    <m/>
    <m/>
    <m/>
    <m/>
    <m/>
    <m/>
    <m/>
    <n v="0"/>
    <n v="0"/>
    <n v="0"/>
    <n v="0"/>
    <m/>
    <m/>
    <n v="0"/>
    <n v="0"/>
  </r>
  <r>
    <x v="15"/>
    <s v="Marshall University "/>
    <m/>
    <n v="237525"/>
    <x v="2"/>
    <s v="sem"/>
    <s v="sem"/>
    <m/>
    <m/>
    <n v="114880"/>
    <n v="119513"/>
    <n v="18137"/>
    <n v="19524"/>
    <n v="131155"/>
    <n v="131409"/>
    <n v="264172"/>
    <n v="8805.7333333333336"/>
    <n v="270446"/>
    <n v="9014.8666666666668"/>
    <n v="4279"/>
    <n v="4055"/>
    <n v="264172"/>
    <n v="270446"/>
    <m/>
    <m/>
    <m/>
    <m/>
    <m/>
    <m/>
    <m/>
    <m/>
    <n v="0"/>
    <n v="0"/>
    <n v="0"/>
    <n v="0"/>
    <m/>
    <m/>
    <n v="0"/>
    <n v="0"/>
  </r>
  <r>
    <x v="15"/>
    <s v="Fairmont State University"/>
    <m/>
    <n v="237367"/>
    <x v="4"/>
    <s v="sem"/>
    <s v="sem"/>
    <m/>
    <m/>
    <n v="54199"/>
    <n v="54393"/>
    <n v="6405"/>
    <n v="7303"/>
    <n v="59154"/>
    <n v="57398"/>
    <n v="119758"/>
    <n v="3991.9333333333334"/>
    <n v="119094"/>
    <n v="3969.8"/>
    <n v="5"/>
    <n v="55"/>
    <n v="119758"/>
    <n v="119094"/>
    <m/>
    <m/>
    <m/>
    <m/>
    <m/>
    <m/>
    <m/>
    <m/>
    <n v="0"/>
    <n v="0"/>
    <n v="0"/>
    <n v="0"/>
    <m/>
    <m/>
    <n v="0"/>
    <n v="0"/>
  </r>
  <r>
    <x v="15"/>
    <s v="Shepherd University "/>
    <m/>
    <n v="237792"/>
    <x v="4"/>
    <s v="sem"/>
    <s v="sem"/>
    <m/>
    <m/>
    <n v="50769.5"/>
    <n v="52147"/>
    <n v="4064"/>
    <n v="4462"/>
    <n v="55600"/>
    <n v="56757.5"/>
    <n v="110433.5"/>
    <n v="3681.1166666666668"/>
    <n v="113366.5"/>
    <n v="3778.8833333333332"/>
    <n v="68"/>
    <n v="53"/>
    <n v="110433.5"/>
    <n v="113366.5"/>
    <m/>
    <m/>
    <m/>
    <m/>
    <m/>
    <m/>
    <m/>
    <m/>
    <n v="0"/>
    <n v="0"/>
    <n v="0"/>
    <n v="0"/>
    <m/>
    <m/>
    <n v="0"/>
    <n v="0"/>
  </r>
  <r>
    <x v="15"/>
    <s v="Bluefield State College "/>
    <m/>
    <n v="237215"/>
    <x v="5"/>
    <s v="sem"/>
    <s v="sem"/>
    <m/>
    <m/>
    <n v="25644"/>
    <n v="24279"/>
    <n v="4037"/>
    <n v="3834"/>
    <n v="26354"/>
    <n v="25568"/>
    <n v="56035"/>
    <n v="1867.8333333333333"/>
    <n v="53681"/>
    <n v="1789.3666666666666"/>
    <n v="396"/>
    <n v="275"/>
    <n v="56035"/>
    <n v="53681"/>
    <m/>
    <m/>
    <m/>
    <m/>
    <m/>
    <m/>
    <m/>
    <m/>
    <n v="0"/>
    <n v="0"/>
    <n v="0"/>
    <n v="0"/>
    <m/>
    <m/>
    <n v="0"/>
    <n v="0"/>
  </r>
  <r>
    <x v="15"/>
    <s v="Concord University "/>
    <m/>
    <n v="237330"/>
    <x v="5"/>
    <s v="sem"/>
    <s v="sem"/>
    <m/>
    <m/>
    <n v="36705"/>
    <n v="37071"/>
    <n v="3810"/>
    <n v="4258"/>
    <n v="39652"/>
    <n v="39794"/>
    <n v="80167"/>
    <n v="2672.2333333333331"/>
    <n v="81123"/>
    <n v="2704.1"/>
    <n v="852"/>
    <n v="916"/>
    <n v="80167"/>
    <n v="81123"/>
    <m/>
    <m/>
    <m/>
    <m/>
    <m/>
    <m/>
    <m/>
    <m/>
    <n v="0"/>
    <n v="0"/>
    <n v="0"/>
    <n v="0"/>
    <m/>
    <m/>
    <n v="0"/>
    <n v="0"/>
  </r>
  <r>
    <x v="15"/>
    <s v="Glenville State College "/>
    <m/>
    <n v="237385"/>
    <x v="5"/>
    <s v="sem"/>
    <s v="sem"/>
    <m/>
    <m/>
    <n v="19673"/>
    <n v="20427.099999999999"/>
    <n v="2879.4"/>
    <n v="3115"/>
    <n v="22106"/>
    <n v="21475.1"/>
    <n v="44658.400000000001"/>
    <n v="1488.6133333333335"/>
    <n v="45017.2"/>
    <n v="1500.5733333333333"/>
    <n v="1665"/>
    <n v="1366"/>
    <n v="44658.400000000001"/>
    <n v="45017.2"/>
    <m/>
    <m/>
    <m/>
    <m/>
    <m/>
    <m/>
    <m/>
    <m/>
    <n v="0"/>
    <n v="0"/>
    <n v="0"/>
    <n v="0"/>
    <m/>
    <m/>
    <n v="0"/>
    <n v="0"/>
  </r>
  <r>
    <x v="15"/>
    <s v="West Liberty University"/>
    <m/>
    <n v="237932"/>
    <x v="5"/>
    <s v="sem"/>
    <s v="sem"/>
    <m/>
    <m/>
    <n v="34436"/>
    <n v="35259"/>
    <n v="2373"/>
    <n v="2100"/>
    <n v="39268"/>
    <n v="39454"/>
    <n v="76077"/>
    <n v="2535.9"/>
    <n v="76813"/>
    <n v="2560.4333333333334"/>
    <n v="1155"/>
    <n v="1049"/>
    <n v="76077"/>
    <n v="76813"/>
    <m/>
    <m/>
    <m/>
    <m/>
    <m/>
    <m/>
    <m/>
    <m/>
    <n v="0"/>
    <n v="0"/>
    <n v="0"/>
    <n v="0"/>
    <m/>
    <m/>
    <n v="0"/>
    <n v="0"/>
  </r>
  <r>
    <x v="15"/>
    <s v="West Virginia State University "/>
    <m/>
    <n v="237899"/>
    <x v="5"/>
    <s v="sem"/>
    <s v="sem"/>
    <m/>
    <m/>
    <n v="37226"/>
    <n v="33558"/>
    <n v="2921"/>
    <n v="2737"/>
    <n v="36531"/>
    <n v="33566"/>
    <n v="76678"/>
    <n v="2555.9333333333334"/>
    <n v="69861"/>
    <n v="2328.6999999999998"/>
    <n v="2966"/>
    <n v="3077"/>
    <n v="76678"/>
    <n v="69861"/>
    <m/>
    <m/>
    <m/>
    <m/>
    <m/>
    <m/>
    <m/>
    <m/>
    <n v="0"/>
    <n v="0"/>
    <n v="0"/>
    <n v="0"/>
    <m/>
    <m/>
    <n v="0"/>
    <n v="0"/>
  </r>
  <r>
    <x v="15"/>
    <s v="West Virginia University Institute of Technology"/>
    <m/>
    <n v="237950"/>
    <x v="5"/>
    <s v="sem"/>
    <s v="sem"/>
    <m/>
    <m/>
    <n v="15345"/>
    <n v="15230"/>
    <n v="908"/>
    <n v="1090"/>
    <n v="16016"/>
    <n v="16657"/>
    <n v="32269"/>
    <n v="1075.6333333333334"/>
    <n v="32977"/>
    <n v="1099.2333333333333"/>
    <n v="925"/>
    <n v="991"/>
    <n v="32269"/>
    <n v="32977"/>
    <m/>
    <m/>
    <m/>
    <m/>
    <m/>
    <m/>
    <m/>
    <m/>
    <n v="0"/>
    <n v="0"/>
    <n v="0"/>
    <n v="0"/>
    <m/>
    <m/>
    <n v="0"/>
    <n v="0"/>
  </r>
  <r>
    <x v="15"/>
    <s v="Potomac State College of West Virginia University"/>
    <m/>
    <n v="237701"/>
    <x v="11"/>
    <s v="sem"/>
    <s v="sem"/>
    <m/>
    <m/>
    <n v="19877"/>
    <n v="20574"/>
    <n v="1659"/>
    <n v="1918"/>
    <n v="22967"/>
    <n v="22570"/>
    <n v="44503"/>
    <n v="1483.4333333333334"/>
    <n v="45062"/>
    <n v="1502.0666666666666"/>
    <n v="2487"/>
    <n v="2317"/>
    <n v="44503"/>
    <n v="45062"/>
    <m/>
    <m/>
    <m/>
    <m/>
    <m/>
    <m/>
    <m/>
    <m/>
    <n v="0"/>
    <n v="0"/>
    <n v="0"/>
    <n v="0"/>
    <m/>
    <m/>
    <n v="0"/>
    <n v="0"/>
  </r>
  <r>
    <x v="15"/>
    <s v="West Virginia University at Parkersburg"/>
    <m/>
    <n v="237686"/>
    <x v="11"/>
    <s v="sem"/>
    <s v="sem"/>
    <m/>
    <m/>
    <n v="45474"/>
    <n v="47232"/>
    <n v="11073"/>
    <n v="10936"/>
    <n v="48741"/>
    <n v="45336"/>
    <n v="105288"/>
    <n v="3509.6"/>
    <n v="103504"/>
    <n v="3450.1333333333332"/>
    <n v="3498"/>
    <n v="3426"/>
    <n v="105288"/>
    <n v="103504"/>
    <m/>
    <m/>
    <m/>
    <m/>
    <m/>
    <m/>
    <m/>
    <m/>
    <n v="0"/>
    <n v="0"/>
    <n v="0"/>
    <n v="0"/>
    <m/>
    <m/>
    <n v="0"/>
    <n v="0"/>
  </r>
  <r>
    <x v="15"/>
    <s v="West Virginia Northern Community College"/>
    <s v="Reclassified: met the criteria for Two-Year 2 in 2009-10, 2010-11 and 2011-12."/>
    <n v="238014"/>
    <x v="7"/>
    <s v="sem"/>
    <s v="sem"/>
    <m/>
    <m/>
    <n v="32472.799999999999"/>
    <n v="32391.200000000001"/>
    <n v="10777"/>
    <n v="9928.5"/>
    <n v="33416.5"/>
    <n v="29346"/>
    <n v="76666.3"/>
    <n v="2555.5433333333335"/>
    <n v="71665.7"/>
    <n v="2388.8566666666666"/>
    <n v="3076"/>
    <n v="3170.5"/>
    <n v="76666.3"/>
    <n v="71665.7"/>
    <m/>
    <m/>
    <m/>
    <m/>
    <m/>
    <m/>
    <m/>
    <m/>
    <n v="0"/>
    <n v="0"/>
    <n v="0"/>
    <n v="0"/>
    <m/>
    <m/>
    <n v="0"/>
    <n v="0"/>
  </r>
  <r>
    <x v="15"/>
    <s v="Blue Ridge Community &amp; Technical College"/>
    <m/>
    <n v="446774"/>
    <x v="8"/>
    <s v="sem"/>
    <s v="sem"/>
    <m/>
    <m/>
    <n v="20865.599999999999"/>
    <n v="24794.400000000001"/>
    <n v="4573"/>
    <n v="4480"/>
    <n v="26263.599999999999"/>
    <n v="28410.3"/>
    <n v="51702.2"/>
    <n v="1723.4066666666665"/>
    <n v="57684.7"/>
    <n v="1922.8233333333333"/>
    <n v="1341.7"/>
    <n v="1299.3"/>
    <n v="51702.2"/>
    <n v="57684.7"/>
    <m/>
    <m/>
    <m/>
    <m/>
    <m/>
    <m/>
    <m/>
    <m/>
    <n v="0"/>
    <n v="0"/>
    <n v="0"/>
    <n v="0"/>
    <m/>
    <m/>
    <n v="0"/>
    <n v="0"/>
  </r>
  <r>
    <x v="15"/>
    <s v="Bridgemont Community &amp; Technical College"/>
    <m/>
    <n v="445674"/>
    <x v="8"/>
    <s v="sem"/>
    <s v="sem"/>
    <m/>
    <m/>
    <n v="8189"/>
    <n v="7919.5"/>
    <n v="297"/>
    <n v="415"/>
    <n v="9024"/>
    <n v="9297.2999999999993"/>
    <n v="17510"/>
    <n v="583.66666666666663"/>
    <n v="17631.8"/>
    <n v="587.72666666666669"/>
    <n v="590"/>
    <n v="603"/>
    <n v="17510"/>
    <n v="17631.8"/>
    <m/>
    <m/>
    <m/>
    <m/>
    <m/>
    <m/>
    <m/>
    <m/>
    <n v="0"/>
    <n v="0"/>
    <n v="0"/>
    <n v="0"/>
    <m/>
    <m/>
    <n v="0"/>
    <n v="0"/>
  </r>
  <r>
    <x v="15"/>
    <s v="Eastern West Virginia Community &amp; Technical College"/>
    <m/>
    <n v="438708"/>
    <x v="8"/>
    <s v="sem"/>
    <s v="sem"/>
    <m/>
    <m/>
    <n v="4807"/>
    <n v="5136"/>
    <n v="626"/>
    <n v="942"/>
    <n v="5321"/>
    <n v="6472"/>
    <n v="10754"/>
    <n v="358.46666666666664"/>
    <n v="12550"/>
    <n v="418.33333333333331"/>
    <n v="1253"/>
    <n v="1132"/>
    <n v="10754"/>
    <n v="12550"/>
    <m/>
    <m/>
    <m/>
    <m/>
    <m/>
    <m/>
    <m/>
    <m/>
    <n v="0"/>
    <n v="0"/>
    <n v="0"/>
    <n v="0"/>
    <m/>
    <m/>
    <n v="0"/>
    <n v="0"/>
  </r>
  <r>
    <x v="15"/>
    <s v="Kanawha Valley Community &amp; Technical College"/>
    <m/>
    <n v="445018"/>
    <x v="8"/>
    <s v="sem"/>
    <s v="sem"/>
    <m/>
    <m/>
    <n v="16830"/>
    <n v="17884"/>
    <n v="1484"/>
    <n v="1872"/>
    <n v="18578"/>
    <n v="17658"/>
    <n v="36892"/>
    <n v="1229.7333333333333"/>
    <n v="37414"/>
    <n v="1247.1333333333334"/>
    <n v="452"/>
    <n v="166"/>
    <n v="36892"/>
    <n v="37414"/>
    <m/>
    <m/>
    <m/>
    <m/>
    <m/>
    <m/>
    <m/>
    <m/>
    <n v="0"/>
    <n v="0"/>
    <n v="0"/>
    <n v="0"/>
    <m/>
    <m/>
    <n v="0"/>
    <n v="0"/>
  </r>
  <r>
    <x v="15"/>
    <s v="Mountwest Community &amp; Technical College"/>
    <m/>
    <n v="444954"/>
    <x v="8"/>
    <s v="sem"/>
    <s v="sem"/>
    <m/>
    <m/>
    <n v="25352.2"/>
    <n v="26117.8"/>
    <n v="3578"/>
    <n v="5014"/>
    <n v="28793.8"/>
    <n v="27935.599999999999"/>
    <n v="57724"/>
    <n v="1924.1333333333334"/>
    <n v="59067.399999999994"/>
    <n v="1968.9133333333332"/>
    <n v="1315"/>
    <n v="1376"/>
    <n v="57724"/>
    <n v="59067.399999999994"/>
    <m/>
    <m/>
    <m/>
    <m/>
    <m/>
    <m/>
    <m/>
    <m/>
    <n v="0"/>
    <n v="0"/>
    <n v="0"/>
    <n v="0"/>
    <m/>
    <m/>
    <n v="0"/>
    <n v="0"/>
  </r>
  <r>
    <x v="15"/>
    <s v="New River Community &amp; Technical College"/>
    <s v="Met criteria for Two-Year 2 in 2010-11 and 2011-12."/>
    <n v="447582"/>
    <x v="8"/>
    <s v="sem"/>
    <s v="sem"/>
    <m/>
    <m/>
    <n v="30185"/>
    <n v="28725"/>
    <n v="6075"/>
    <n v="4482"/>
    <n v="30720"/>
    <n v="30326.5"/>
    <n v="66980"/>
    <n v="2232.6666666666665"/>
    <n v="63533.5"/>
    <n v="2117.7833333333333"/>
    <n v="2394"/>
    <n v="1939"/>
    <n v="66980"/>
    <n v="63533.5"/>
    <m/>
    <m/>
    <m/>
    <m/>
    <m/>
    <m/>
    <m/>
    <m/>
    <n v="0"/>
    <n v="0"/>
    <n v="0"/>
    <n v="0"/>
    <m/>
    <m/>
    <n v="0"/>
    <n v="0"/>
  </r>
  <r>
    <x v="15"/>
    <s v="Pierpont Community &amp; Technical College"/>
    <s v="Met criteria for Two-Year 2 in 2010-11 and 2011-12."/>
    <n v="443492"/>
    <x v="8"/>
    <s v="sem"/>
    <s v="sem"/>
    <m/>
    <m/>
    <n v="28863"/>
    <n v="30478"/>
    <n v="3986"/>
    <n v="4727"/>
    <n v="32259"/>
    <n v="33094"/>
    <n v="65108"/>
    <n v="2170.2666666666669"/>
    <n v="68299"/>
    <n v="2276.6333333333332"/>
    <n v="4112"/>
    <n v="3921"/>
    <n v="65108"/>
    <n v="68299"/>
    <m/>
    <m/>
    <m/>
    <m/>
    <m/>
    <m/>
    <m/>
    <m/>
    <n v="0"/>
    <n v="0"/>
    <n v="0"/>
    <n v="0"/>
    <m/>
    <m/>
    <n v="0"/>
    <n v="0"/>
  </r>
  <r>
    <x v="15"/>
    <s v="Southern West Virginia Community &amp; Technical College "/>
    <m/>
    <n v="237817"/>
    <x v="8"/>
    <s v="sem"/>
    <s v="sem"/>
    <m/>
    <m/>
    <n v="23160"/>
    <n v="21340"/>
    <n v="2127"/>
    <n v="2679"/>
    <n v="26709"/>
    <n v="25278"/>
    <n v="51996"/>
    <n v="1733.2"/>
    <n v="49297"/>
    <n v="1643.2333333333333"/>
    <n v="3146"/>
    <n v="3273"/>
    <n v="51996"/>
    <n v="49297"/>
    <m/>
    <m/>
    <m/>
    <m/>
    <m/>
    <m/>
    <m/>
    <m/>
    <n v="0"/>
    <n v="0"/>
    <n v="0"/>
    <n v="0"/>
    <m/>
    <m/>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2" dataOnRows="1" applyNumberFormats="0" applyBorderFormats="0" applyFontFormats="0" applyPatternFormats="0" applyAlignmentFormats="0" applyWidthHeightFormats="1" dataCaption="Data" updatedVersion="4" minRefreshableVersion="3" asteriskTotals="1" showMultipleLabel="0" showMemberPropertyTips="0" useAutoFormatting="1" colGrandTotals="0" itemPrintTitles="1" createdVersion="3" indent="0" compact="0" compactData="0" gridDropZones="1">
  <location ref="A2:AA208" firstHeaderRow="1" firstDataRow="3" firstDataCol="2"/>
  <pivotFields count="64">
    <pivotField axis="axisRow" compact="0" outline="0" subtotalTop="0" showAll="0" includeNewItemsInFilter="1" sortType="ascending" rankBy="0">
      <items count="19">
        <item x="0"/>
        <item x="1"/>
        <item x="2"/>
        <item x="3"/>
        <item x="4"/>
        <item m="1" x="17"/>
        <item x="5"/>
        <item x="6"/>
        <item x="7"/>
        <item x="8"/>
        <item x="9"/>
        <item x="10"/>
        <item x="11"/>
        <item x="12"/>
        <item x="13"/>
        <item x="14"/>
        <item x="15"/>
        <item m="1" x="16"/>
        <item t="default"/>
      </items>
    </pivotField>
    <pivotField compact="0" outline="0" subtotalTop="0" showAll="0" includeNewItemsInFilter="1"/>
    <pivotField compact="0" outline="0" showAll="0" defaultSubtotal="0"/>
    <pivotField compact="0" outline="0" subtotalTop="0" showAll="0" includeNewItemsInFilter="1"/>
    <pivotField name="Category" axis="axisCol" compact="0" numFmtId="164" outline="0" subtotalTop="0" showAll="0" includeNewItemsInFilter="1">
      <items count="20">
        <item x="0"/>
        <item x="1"/>
        <item x="2"/>
        <item x="3"/>
        <item x="4"/>
        <item x="5"/>
        <item n="7" x="11"/>
        <item n="8" x="6"/>
        <item n="9" x="7"/>
        <item n="10" x="8"/>
        <item n="11" x="16"/>
        <item n="12" x="9"/>
        <item n="13" x="10"/>
        <item m="1" x="17"/>
        <item h="1" m="1" x="18"/>
        <item x="15"/>
        <item x="13"/>
        <item x="14"/>
        <item x="1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axis="axisCol" compact="0" outline="0" subtotalTop="0" showAll="0" includeNewItemsInFilter="1">
      <items count="10">
        <item n="Four-Year" x="3"/>
        <item n="Two-Year" x="4"/>
        <item n="11" x="2"/>
        <item n="Technical" x="5"/>
        <item h="1" x="0"/>
        <item x="6"/>
        <item x="7"/>
        <item x="1"/>
        <item x="8"/>
        <item t="default"/>
      </items>
    </pivotField>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204">
    <i>
      <x/>
      <x/>
    </i>
    <i r="1" i="1">
      <x v="1"/>
    </i>
    <i r="1" i="2">
      <x v="2"/>
    </i>
    <i r="1" i="3">
      <x v="3"/>
    </i>
    <i r="1" i="4">
      <x v="4"/>
    </i>
    <i r="1" i="5">
      <x v="5"/>
    </i>
    <i r="1" i="6">
      <x v="6"/>
    </i>
    <i r="1" i="7">
      <x v="7"/>
    </i>
    <i r="1" i="8">
      <x v="8"/>
    </i>
    <i r="1" i="9">
      <x v="9"/>
    </i>
    <i r="1" i="10">
      <x v="10"/>
    </i>
    <i r="1" i="11">
      <x v="11"/>
    </i>
    <i>
      <x v="1"/>
      <x/>
    </i>
    <i r="1" i="1">
      <x v="1"/>
    </i>
    <i r="1" i="2">
      <x v="2"/>
    </i>
    <i r="1" i="3">
      <x v="3"/>
    </i>
    <i r="1" i="4">
      <x v="4"/>
    </i>
    <i r="1" i="5">
      <x v="5"/>
    </i>
    <i r="1" i="6">
      <x v="6"/>
    </i>
    <i r="1" i="7">
      <x v="7"/>
    </i>
    <i r="1" i="8">
      <x v="8"/>
    </i>
    <i r="1" i="9">
      <x v="9"/>
    </i>
    <i r="1" i="10">
      <x v="10"/>
    </i>
    <i r="1" i="11">
      <x v="11"/>
    </i>
    <i>
      <x v="2"/>
      <x/>
    </i>
    <i r="1" i="1">
      <x v="1"/>
    </i>
    <i r="1" i="2">
      <x v="2"/>
    </i>
    <i r="1" i="3">
      <x v="3"/>
    </i>
    <i r="1" i="4">
      <x v="4"/>
    </i>
    <i r="1" i="5">
      <x v="5"/>
    </i>
    <i r="1" i="6">
      <x v="6"/>
    </i>
    <i r="1" i="7">
      <x v="7"/>
    </i>
    <i r="1" i="8">
      <x v="8"/>
    </i>
    <i r="1" i="9">
      <x v="9"/>
    </i>
    <i r="1" i="10">
      <x v="10"/>
    </i>
    <i r="1" i="11">
      <x v="11"/>
    </i>
    <i>
      <x v="3"/>
      <x/>
    </i>
    <i r="1" i="1">
      <x v="1"/>
    </i>
    <i r="1" i="2">
      <x v="2"/>
    </i>
    <i r="1" i="3">
      <x v="3"/>
    </i>
    <i r="1" i="4">
      <x v="4"/>
    </i>
    <i r="1" i="5">
      <x v="5"/>
    </i>
    <i r="1" i="6">
      <x v="6"/>
    </i>
    <i r="1" i="7">
      <x v="7"/>
    </i>
    <i r="1" i="8">
      <x v="8"/>
    </i>
    <i r="1" i="9">
      <x v="9"/>
    </i>
    <i r="1" i="10">
      <x v="10"/>
    </i>
    <i r="1" i="11">
      <x v="11"/>
    </i>
    <i>
      <x v="4"/>
      <x/>
    </i>
    <i r="1" i="1">
      <x v="1"/>
    </i>
    <i r="1" i="2">
      <x v="2"/>
    </i>
    <i r="1" i="3">
      <x v="3"/>
    </i>
    <i r="1" i="4">
      <x v="4"/>
    </i>
    <i r="1" i="5">
      <x v="5"/>
    </i>
    <i r="1" i="6">
      <x v="6"/>
    </i>
    <i r="1" i="7">
      <x v="7"/>
    </i>
    <i r="1" i="8">
      <x v="8"/>
    </i>
    <i r="1" i="9">
      <x v="9"/>
    </i>
    <i r="1" i="10">
      <x v="10"/>
    </i>
    <i r="1" i="11">
      <x v="11"/>
    </i>
    <i>
      <x v="6"/>
      <x/>
    </i>
    <i r="1" i="1">
      <x v="1"/>
    </i>
    <i r="1" i="2">
      <x v="2"/>
    </i>
    <i r="1" i="3">
      <x v="3"/>
    </i>
    <i r="1" i="4">
      <x v="4"/>
    </i>
    <i r="1" i="5">
      <x v="5"/>
    </i>
    <i r="1" i="6">
      <x v="6"/>
    </i>
    <i r="1" i="7">
      <x v="7"/>
    </i>
    <i r="1" i="8">
      <x v="8"/>
    </i>
    <i r="1" i="9">
      <x v="9"/>
    </i>
    <i r="1" i="10">
      <x v="10"/>
    </i>
    <i r="1" i="11">
      <x v="11"/>
    </i>
    <i>
      <x v="7"/>
      <x/>
    </i>
    <i r="1" i="1">
      <x v="1"/>
    </i>
    <i r="1" i="2">
      <x v="2"/>
    </i>
    <i r="1" i="3">
      <x v="3"/>
    </i>
    <i r="1" i="4">
      <x v="4"/>
    </i>
    <i r="1" i="5">
      <x v="5"/>
    </i>
    <i r="1" i="6">
      <x v="6"/>
    </i>
    <i r="1" i="7">
      <x v="7"/>
    </i>
    <i r="1" i="8">
      <x v="8"/>
    </i>
    <i r="1" i="9">
      <x v="9"/>
    </i>
    <i r="1" i="10">
      <x v="10"/>
    </i>
    <i r="1" i="11">
      <x v="11"/>
    </i>
    <i>
      <x v="8"/>
      <x/>
    </i>
    <i r="1" i="1">
      <x v="1"/>
    </i>
    <i r="1" i="2">
      <x v="2"/>
    </i>
    <i r="1" i="3">
      <x v="3"/>
    </i>
    <i r="1" i="4">
      <x v="4"/>
    </i>
    <i r="1" i="5">
      <x v="5"/>
    </i>
    <i r="1" i="6">
      <x v="6"/>
    </i>
    <i r="1" i="7">
      <x v="7"/>
    </i>
    <i r="1" i="8">
      <x v="8"/>
    </i>
    <i r="1" i="9">
      <x v="9"/>
    </i>
    <i r="1" i="10">
      <x v="10"/>
    </i>
    <i r="1" i="11">
      <x v="11"/>
    </i>
    <i>
      <x v="9"/>
      <x/>
    </i>
    <i r="1" i="1">
      <x v="1"/>
    </i>
    <i r="1" i="2">
      <x v="2"/>
    </i>
    <i r="1" i="3">
      <x v="3"/>
    </i>
    <i r="1" i="4">
      <x v="4"/>
    </i>
    <i r="1" i="5">
      <x v="5"/>
    </i>
    <i r="1" i="6">
      <x v="6"/>
    </i>
    <i r="1" i="7">
      <x v="7"/>
    </i>
    <i r="1" i="8">
      <x v="8"/>
    </i>
    <i r="1" i="9">
      <x v="9"/>
    </i>
    <i r="1" i="10">
      <x v="10"/>
    </i>
    <i r="1" i="11">
      <x v="11"/>
    </i>
    <i>
      <x v="10"/>
      <x/>
    </i>
    <i r="1" i="1">
      <x v="1"/>
    </i>
    <i r="1" i="2">
      <x v="2"/>
    </i>
    <i r="1" i="3">
      <x v="3"/>
    </i>
    <i r="1" i="4">
      <x v="4"/>
    </i>
    <i r="1" i="5">
      <x v="5"/>
    </i>
    <i r="1" i="6">
      <x v="6"/>
    </i>
    <i r="1" i="7">
      <x v="7"/>
    </i>
    <i r="1" i="8">
      <x v="8"/>
    </i>
    <i r="1" i="9">
      <x v="9"/>
    </i>
    <i r="1" i="10">
      <x v="10"/>
    </i>
    <i r="1" i="11">
      <x v="11"/>
    </i>
    <i>
      <x v="11"/>
      <x/>
    </i>
    <i r="1" i="1">
      <x v="1"/>
    </i>
    <i r="1" i="2">
      <x v="2"/>
    </i>
    <i r="1" i="3">
      <x v="3"/>
    </i>
    <i r="1" i="4">
      <x v="4"/>
    </i>
    <i r="1" i="5">
      <x v="5"/>
    </i>
    <i r="1" i="6">
      <x v="6"/>
    </i>
    <i r="1" i="7">
      <x v="7"/>
    </i>
    <i r="1" i="8">
      <x v="8"/>
    </i>
    <i r="1" i="9">
      <x v="9"/>
    </i>
    <i r="1" i="10">
      <x v="10"/>
    </i>
    <i r="1" i="11">
      <x v="11"/>
    </i>
    <i>
      <x v="12"/>
      <x/>
    </i>
    <i r="1" i="1">
      <x v="1"/>
    </i>
    <i r="1" i="2">
      <x v="2"/>
    </i>
    <i r="1" i="3">
      <x v="3"/>
    </i>
    <i r="1" i="4">
      <x v="4"/>
    </i>
    <i r="1" i="5">
      <x v="5"/>
    </i>
    <i r="1" i="6">
      <x v="6"/>
    </i>
    <i r="1" i="7">
      <x v="7"/>
    </i>
    <i r="1" i="8">
      <x v="8"/>
    </i>
    <i r="1" i="9">
      <x v="9"/>
    </i>
    <i r="1" i="10">
      <x v="10"/>
    </i>
    <i r="1" i="11">
      <x v="11"/>
    </i>
    <i>
      <x v="13"/>
      <x/>
    </i>
    <i r="1" i="1">
      <x v="1"/>
    </i>
    <i r="1" i="2">
      <x v="2"/>
    </i>
    <i r="1" i="3">
      <x v="3"/>
    </i>
    <i r="1" i="4">
      <x v="4"/>
    </i>
    <i r="1" i="5">
      <x v="5"/>
    </i>
    <i r="1" i="6">
      <x v="6"/>
    </i>
    <i r="1" i="7">
      <x v="7"/>
    </i>
    <i r="1" i="8">
      <x v="8"/>
    </i>
    <i r="1" i="9">
      <x v="9"/>
    </i>
    <i r="1" i="10">
      <x v="10"/>
    </i>
    <i r="1" i="11">
      <x v="11"/>
    </i>
    <i>
      <x v="14"/>
      <x/>
    </i>
    <i r="1" i="1">
      <x v="1"/>
    </i>
    <i r="1" i="2">
      <x v="2"/>
    </i>
    <i r="1" i="3">
      <x v="3"/>
    </i>
    <i r="1" i="4">
      <x v="4"/>
    </i>
    <i r="1" i="5">
      <x v="5"/>
    </i>
    <i r="1" i="6">
      <x v="6"/>
    </i>
    <i r="1" i="7">
      <x v="7"/>
    </i>
    <i r="1" i="8">
      <x v="8"/>
    </i>
    <i r="1" i="9">
      <x v="9"/>
    </i>
    <i r="1" i="10">
      <x v="10"/>
    </i>
    <i r="1" i="11">
      <x v="11"/>
    </i>
    <i>
      <x v="15"/>
      <x/>
    </i>
    <i r="1" i="1">
      <x v="1"/>
    </i>
    <i r="1" i="2">
      <x v="2"/>
    </i>
    <i r="1" i="3">
      <x v="3"/>
    </i>
    <i r="1" i="4">
      <x v="4"/>
    </i>
    <i r="1" i="5">
      <x v="5"/>
    </i>
    <i r="1" i="6">
      <x v="6"/>
    </i>
    <i r="1" i="7">
      <x v="7"/>
    </i>
    <i r="1" i="8">
      <x v="8"/>
    </i>
    <i r="1" i="9">
      <x v="9"/>
    </i>
    <i r="1" i="10">
      <x v="10"/>
    </i>
    <i r="1" i="11">
      <x v="11"/>
    </i>
    <i>
      <x v="16"/>
      <x/>
    </i>
    <i r="1" i="1">
      <x v="1"/>
    </i>
    <i r="1" i="2">
      <x v="2"/>
    </i>
    <i r="1" i="3">
      <x v="3"/>
    </i>
    <i r="1" i="4">
      <x v="4"/>
    </i>
    <i r="1" i="5">
      <x v="5"/>
    </i>
    <i r="1" i="6">
      <x v="6"/>
    </i>
    <i r="1" i="7">
      <x v="7"/>
    </i>
    <i r="1" i="8">
      <x v="8"/>
    </i>
    <i r="1" i="9">
      <x v="9"/>
    </i>
    <i r="1" i="10">
      <x v="10"/>
    </i>
    <i r="1" i="11">
      <x v="11"/>
    </i>
    <i t="grand">
      <x/>
    </i>
    <i t="grand" i="1">
      <x/>
    </i>
    <i t="grand" i="2">
      <x/>
    </i>
    <i t="grand" i="3">
      <x/>
    </i>
    <i t="grand" i="4">
      <x/>
    </i>
    <i t="grand" i="5">
      <x/>
    </i>
    <i t="grand" i="6">
      <x/>
    </i>
    <i t="grand" i="7">
      <x/>
    </i>
    <i t="grand" i="8">
      <x/>
    </i>
    <i t="grand" i="9">
      <x/>
    </i>
    <i t="grand" i="10">
      <x/>
    </i>
    <i t="grand" i="11">
      <x/>
    </i>
  </rowItems>
  <colFields count="2">
    <field x="60"/>
    <field x="4"/>
  </colFields>
  <colItems count="25">
    <i>
      <x/>
      <x/>
    </i>
    <i r="1">
      <x v="1"/>
    </i>
    <i r="1">
      <x v="2"/>
    </i>
    <i r="1">
      <x v="3"/>
    </i>
    <i r="1">
      <x v="4"/>
    </i>
    <i r="1">
      <x v="5"/>
    </i>
    <i t="default">
      <x/>
    </i>
    <i>
      <x v="1"/>
      <x v="6"/>
    </i>
    <i r="1">
      <x v="7"/>
    </i>
    <i r="1">
      <x v="8"/>
    </i>
    <i r="1">
      <x v="9"/>
    </i>
    <i t="default">
      <x v="1"/>
    </i>
    <i>
      <x v="2"/>
      <x v="10"/>
    </i>
    <i t="default">
      <x v="2"/>
    </i>
    <i>
      <x v="3"/>
      <x v="11"/>
    </i>
    <i r="1">
      <x v="12"/>
    </i>
    <i t="default">
      <x v="3"/>
    </i>
    <i>
      <x v="5"/>
      <x v="16"/>
    </i>
    <i t="default">
      <x v="5"/>
    </i>
    <i>
      <x v="6"/>
      <x v="17"/>
    </i>
    <i t="default">
      <x v="6"/>
    </i>
    <i>
      <x v="7"/>
      <x v="15"/>
    </i>
    <i t="default">
      <x v="7"/>
    </i>
    <i>
      <x v="8"/>
      <x v="18"/>
    </i>
    <i t="default">
      <x v="8"/>
    </i>
  </colItems>
  <dataFields count="12">
    <dataField name="Undergrad Student Credit Hour  FTE - Old" fld="16" baseField="0" baseItem="0" numFmtId="3"/>
    <dataField name="Undergrad Student Credit Hour FTE - New" fld="18" baseField="0" baseItem="0" numFmtId="3"/>
    <dataField name=" % Change Undergrad SCH FTE" fld="53" baseField="0" baseItem="0" numFmtId="166"/>
    <dataField name=" Undergrad Contact Hour FTE - Old" fld="32" baseField="0" baseItem="0" numFmtId="3"/>
    <dataField name=" Undergrad Contact Hour FTE - New" fld="34" baseField="0" baseItem="0" numFmtId="3"/>
    <dataField name=" % Change Undergrad CH FTE" fld="55" baseField="0" baseItem="0" numFmtId="166"/>
    <dataField name="Graduate FTE - Old" fld="48" baseField="0" baseItem="0" numFmtId="3"/>
    <dataField name="Graduate FTE - New" fld="50" baseField="0" baseItem="0" numFmtId="3"/>
    <dataField name=" % Change Graduate  FTE" fld="54" baseField="0" baseItem="0" numFmtId="166"/>
    <dataField name="Grand Total FTE - Old" fld="51" baseField="0" baseItem="0" numFmtId="3"/>
    <dataField name="Grand Total FTE - New" fld="52" baseField="0" baseItem="0" numFmtId="3"/>
    <dataField name=" % Change Grand Total FTE" fld="61" baseField="0" baseItem="0" numFmtId="166"/>
  </dataFields>
  <formats count="356">
    <format dxfId="601">
      <pivotArea type="all" dataOnly="0" outline="0" fieldPosition="0"/>
    </format>
    <format dxfId="600">
      <pivotArea type="all" dataOnly="0" outline="0" fieldPosition="0"/>
    </format>
    <format dxfId="599">
      <pivotArea type="all" dataOnly="0" outline="0" fieldPosition="0"/>
    </format>
    <format dxfId="598">
      <pivotArea type="all" dataOnly="0" outline="0" fieldPosition="0"/>
    </format>
    <format dxfId="597">
      <pivotArea dataOnly="0" outline="0" fieldPosition="0">
        <references count="1">
          <reference field="4294967294" count="1">
            <x v="2"/>
          </reference>
        </references>
      </pivotArea>
    </format>
    <format dxfId="596">
      <pivotArea outline="0" fieldPosition="0">
        <references count="3">
          <reference field="4294967294" count="1" selected="0">
            <x v="2"/>
          </reference>
          <reference field="0" count="1" selected="0">
            <x v="0"/>
          </reference>
          <reference field="4" count="1" selected="0">
            <x v="0"/>
          </reference>
        </references>
      </pivotArea>
    </format>
    <format dxfId="595">
      <pivotArea dataOnly="0" outline="0" fieldPosition="0">
        <references count="1">
          <reference field="4294967294" count="1">
            <x v="5"/>
          </reference>
        </references>
      </pivotArea>
    </format>
    <format dxfId="594">
      <pivotArea dataOnly="0" outline="0" fieldPosition="0">
        <references count="1">
          <reference field="4294967294" count="1">
            <x v="8"/>
          </reference>
        </references>
      </pivotArea>
    </format>
    <format dxfId="593">
      <pivotArea outline="0" fieldPosition="0">
        <references count="2">
          <reference field="0" count="1" selected="0">
            <x v="0"/>
          </reference>
          <reference field="4" count="1" selected="0">
            <x v="0"/>
          </reference>
        </references>
      </pivotArea>
    </format>
    <format dxfId="592">
      <pivotArea outline="0" fieldPosition="0">
        <references count="2">
          <reference field="0" count="1" selected="0">
            <x v="0"/>
          </reference>
          <reference field="4" count="1" selected="0">
            <x v="0"/>
          </reference>
        </references>
      </pivotArea>
    </format>
    <format dxfId="591">
      <pivotArea outline="0" fieldPosition="0">
        <references count="2">
          <reference field="0" count="1" selected="0">
            <x v="0"/>
          </reference>
          <reference field="4" count="1" selected="0">
            <x v="0"/>
          </reference>
        </references>
      </pivotArea>
    </format>
    <format dxfId="590">
      <pivotArea dataOnly="0" outline="0" fieldPosition="0">
        <references count="1">
          <reference field="4294967294" count="1">
            <x v="2"/>
          </reference>
        </references>
      </pivotArea>
    </format>
    <format dxfId="589">
      <pivotArea dataOnly="0" outline="0" fieldPosition="0">
        <references count="1">
          <reference field="4294967294" count="1">
            <x v="5"/>
          </reference>
        </references>
      </pivotArea>
    </format>
    <format dxfId="588">
      <pivotArea dataOnly="0" outline="0" fieldPosition="0">
        <references count="1">
          <reference field="4294967294" count="1">
            <x v="8"/>
          </reference>
        </references>
      </pivotArea>
    </format>
    <format dxfId="587">
      <pivotArea outline="0" fieldPosition="0">
        <references count="2">
          <reference field="0" count="1" selected="0">
            <x v="4"/>
          </reference>
          <reference field="4" count="4" selected="0">
            <x v="2"/>
            <x v="3"/>
            <x v="4"/>
            <x v="5"/>
          </reference>
        </references>
      </pivotArea>
    </format>
    <format dxfId="586">
      <pivotArea outline="0" fieldPosition="0">
        <references count="2">
          <reference field="0" count="1" selected="0">
            <x v="9"/>
          </reference>
          <reference field="4" count="2" selected="0">
            <x v="3"/>
            <x v="4"/>
          </reference>
        </references>
      </pivotArea>
    </format>
    <format dxfId="585">
      <pivotArea outline="0" fieldPosition="0">
        <references count="2">
          <reference field="0" count="1" selected="0">
            <x v="14"/>
          </reference>
          <reference field="4" count="2" selected="0">
            <x v="3"/>
            <x v="4"/>
          </reference>
        </references>
      </pivotArea>
    </format>
    <format dxfId="584">
      <pivotArea dataOnly="0" labelOnly="1" outline="0" fieldPosition="0">
        <references count="1">
          <reference field="0" count="1">
            <x v="0"/>
          </reference>
        </references>
      </pivotArea>
    </format>
    <format dxfId="583">
      <pivotArea dataOnly="0" labelOnly="1" outline="0" fieldPosition="0">
        <references count="1">
          <reference field="0" count="1">
            <x v="1"/>
          </reference>
        </references>
      </pivotArea>
    </format>
    <format dxfId="582">
      <pivotArea dataOnly="0" labelOnly="1" outline="0" fieldPosition="0">
        <references count="1">
          <reference field="0" count="14">
            <x v="2"/>
            <x v="3"/>
            <x v="4"/>
            <x v="6"/>
            <x v="7"/>
            <x v="8"/>
            <x v="9"/>
            <x v="10"/>
            <x v="11"/>
            <x v="12"/>
            <x v="13"/>
            <x v="14"/>
            <x v="15"/>
            <x v="16"/>
          </reference>
        </references>
      </pivotArea>
    </format>
    <format dxfId="581">
      <pivotArea dataOnly="0" outline="0" fieldPosition="0">
        <references count="1">
          <reference field="4294967294" count="3">
            <x v="2"/>
            <x v="5"/>
            <x v="8"/>
          </reference>
        </references>
      </pivotArea>
    </format>
    <format dxfId="580">
      <pivotArea field="0" dataOnly="0" grandRow="1" outline="0" axis="axisRow" fieldPosition="0">
        <references count="1">
          <reference field="4294967294" count="1" selected="0">
            <x v="2"/>
          </reference>
        </references>
      </pivotArea>
    </format>
    <format dxfId="579">
      <pivotArea field="0" dataOnly="0" grandRow="1" outline="0" axis="axisRow" fieldPosition="0">
        <references count="1">
          <reference field="4294967294" count="1" selected="0">
            <x v="2"/>
          </reference>
        </references>
      </pivotArea>
    </format>
    <format dxfId="578">
      <pivotArea field="0" dataOnly="0" grandRow="1" outline="0" axis="axisRow" fieldPosition="0">
        <references count="1">
          <reference field="4294967294" count="1" selected="0">
            <x v="2"/>
          </reference>
        </references>
      </pivotArea>
    </format>
    <format dxfId="577">
      <pivotArea field="0" dataOnly="0" grandRow="1" outline="0" axis="axisRow" fieldPosition="0">
        <references count="1">
          <reference field="4294967294" count="1" selected="0">
            <x v="5"/>
          </reference>
        </references>
      </pivotArea>
    </format>
    <format dxfId="576">
      <pivotArea field="0" dataOnly="0" grandRow="1" outline="0" axis="axisRow" fieldPosition="0">
        <references count="1">
          <reference field="4294967294" count="1" selected="0">
            <x v="8"/>
          </reference>
        </references>
      </pivotArea>
    </format>
    <format dxfId="575">
      <pivotArea field="0" dataOnly="0" grandRow="1" outline="0" axis="axisRow" fieldPosition="0">
        <references count="1">
          <reference field="4294967294" count="1" selected="0">
            <x v="2"/>
          </reference>
        </references>
      </pivotArea>
    </format>
    <format dxfId="574">
      <pivotArea field="0" dataOnly="0" grandRow="1" outline="0" axis="axisRow" fieldPosition="0">
        <references count="1">
          <reference field="4294967294" count="1" selected="0">
            <x v="2"/>
          </reference>
        </references>
      </pivotArea>
    </format>
    <format dxfId="573">
      <pivotArea field="0" dataOnly="0" grandRow="1" outline="0" axis="axisRow" fieldPosition="0">
        <references count="1">
          <reference field="4294967294" count="1" selected="0">
            <x v="2"/>
          </reference>
        </references>
      </pivotArea>
    </format>
    <format dxfId="572">
      <pivotArea field="0" dataOnly="0" grandRow="1" outline="0" axis="axisRow" fieldPosition="0">
        <references count="1">
          <reference field="4294967294" count="1" selected="0">
            <x v="2"/>
          </reference>
        </references>
      </pivotArea>
    </format>
    <format dxfId="571">
      <pivotArea field="0" dataOnly="0" labelOnly="1" grandRow="1" outline="0" axis="axisRow" fieldPosition="0">
        <references count="1">
          <reference field="4294967294" count="1" selected="0">
            <x v="2"/>
          </reference>
        </references>
      </pivotArea>
    </format>
    <format dxfId="570">
      <pivotArea field="0" dataOnly="0" labelOnly="1" grandRow="1" outline="0" axis="axisRow" fieldPosition="0">
        <references count="1">
          <reference field="4294967294" count="1" selected="0">
            <x v="2"/>
          </reference>
        </references>
      </pivotArea>
    </format>
    <format dxfId="569">
      <pivotArea field="0" dataOnly="0" labelOnly="1" grandRow="1" outline="0" axis="axisRow" fieldPosition="0">
        <references count="1">
          <reference field="4294967294" count="1" selected="0">
            <x v="2"/>
          </reference>
        </references>
      </pivotArea>
    </format>
    <format dxfId="568">
      <pivotArea field="0" dataOnly="0" labelOnly="1" grandRow="1" outline="0" axis="axisRow" fieldPosition="0">
        <references count="1">
          <reference field="4294967294" count="1" selected="0">
            <x v="2"/>
          </reference>
        </references>
      </pivotArea>
    </format>
    <format dxfId="567">
      <pivotArea field="0" dataOnly="0" labelOnly="1" grandRow="1" outline="0" axis="axisRow" fieldPosition="0">
        <references count="1">
          <reference field="4294967294" count="1" selected="0">
            <x v="2"/>
          </reference>
        </references>
      </pivotArea>
    </format>
    <format dxfId="566">
      <pivotArea field="0" dataOnly="0" labelOnly="1" grandRow="1" outline="0" axis="axisRow" fieldPosition="0">
        <references count="1">
          <reference field="4294967294" count="1" selected="0">
            <x v="2"/>
          </reference>
        </references>
      </pivotArea>
    </format>
    <format dxfId="565">
      <pivotArea outline="0" fieldPosition="0">
        <references count="2">
          <reference field="4294967294" count="2" selected="0">
            <x v="10"/>
            <x v="11"/>
          </reference>
          <reference field="0" count="1" selected="0">
            <x v="3"/>
          </reference>
        </references>
      </pivotArea>
    </format>
    <format dxfId="564">
      <pivotArea field="0" grandCol="1" outline="0" axis="axisRow" fieldPosition="0">
        <references count="2">
          <reference field="4294967294" count="2" selected="0">
            <x v="10"/>
            <x v="11"/>
          </reference>
          <reference field="0" count="1" selected="0">
            <x v="3"/>
          </reference>
        </references>
      </pivotArea>
    </format>
    <format dxfId="563">
      <pivotArea dataOnly="0" labelOnly="1" outline="0" fieldPosition="0">
        <references count="2">
          <reference field="4294967294" count="2">
            <x v="10"/>
            <x v="11"/>
          </reference>
          <reference field="0" count="1" selected="0">
            <x v="3"/>
          </reference>
        </references>
      </pivotArea>
    </format>
    <format dxfId="562">
      <pivotArea grandCol="1" outline="0" fieldPosition="0"/>
    </format>
    <format dxfId="561">
      <pivotArea type="topRight" dataOnly="0" labelOnly="1" outline="0" offset="I1" fieldPosition="0"/>
    </format>
    <format dxfId="560">
      <pivotArea dataOnly="0" labelOnly="1" grandCol="1" outline="0" fieldPosition="0"/>
    </format>
    <format dxfId="559">
      <pivotArea dataOnly="0" labelOnly="1" outline="0" fieldPosition="0">
        <references count="1">
          <reference field="0" count="1">
            <x v="3"/>
          </reference>
        </references>
      </pivotArea>
    </format>
    <format dxfId="558">
      <pivotArea outline="0" fieldPosition="0">
        <references count="2">
          <reference field="4294967294" count="1" selected="0">
            <x v="0"/>
          </reference>
          <reference field="0" count="1" selected="0">
            <x v="8"/>
          </reference>
        </references>
      </pivotArea>
    </format>
    <format dxfId="557">
      <pivotArea dataOnly="0" labelOnly="1" outline="0" fieldPosition="0">
        <references count="1">
          <reference field="4" count="1">
            <x v="6"/>
          </reference>
        </references>
      </pivotArea>
    </format>
    <format dxfId="556">
      <pivotArea dataOnly="0" labelOnly="1" outline="0" fieldPosition="0">
        <references count="1">
          <reference field="4" count="1">
            <x v="7"/>
          </reference>
        </references>
      </pivotArea>
    </format>
    <format dxfId="555">
      <pivotArea dataOnly="0" labelOnly="1" outline="0" fieldPosition="0">
        <references count="1">
          <reference field="4" count="1">
            <x v="8"/>
          </reference>
        </references>
      </pivotArea>
    </format>
    <format dxfId="554">
      <pivotArea dataOnly="0" labelOnly="1" outline="0" fieldPosition="0">
        <references count="1">
          <reference field="4" count="3">
            <x v="9"/>
            <x v="11"/>
            <x v="12"/>
          </reference>
        </references>
      </pivotArea>
    </format>
    <format dxfId="553">
      <pivotArea dataOnly="0" labelOnly="1" outline="0" fieldPosition="0">
        <references count="1">
          <reference field="4" count="1">
            <x v="10"/>
          </reference>
        </references>
      </pivotArea>
    </format>
    <format dxfId="552">
      <pivotArea type="all" dataOnly="0" outline="0" fieldPosition="0"/>
    </format>
    <format dxfId="551">
      <pivotArea field="0" grandCol="1" outline="0" axis="axisRow" fieldPosition="0">
        <references count="2">
          <reference field="4294967294" count="1" selected="0">
            <x v="10"/>
          </reference>
          <reference field="0" count="1" selected="0">
            <x v="15"/>
          </reference>
        </references>
      </pivotArea>
    </format>
    <format dxfId="550">
      <pivotArea field="0" grandCol="1" outline="0" axis="axisRow" fieldPosition="0">
        <references count="2">
          <reference field="4294967294" count="1" selected="0">
            <x v="0"/>
          </reference>
          <reference field="0" count="1" selected="0">
            <x v="15"/>
          </reference>
        </references>
      </pivotArea>
    </format>
    <format dxfId="549">
      <pivotArea field="0" grandCol="1" outline="0" axis="axisRow" fieldPosition="0">
        <references count="2">
          <reference field="4294967294" count="1" selected="0">
            <x v="3"/>
          </reference>
          <reference field="0" count="1" selected="0">
            <x v="7"/>
          </reference>
        </references>
      </pivotArea>
    </format>
    <format dxfId="548">
      <pivotArea dataOnly="0" labelOnly="1" grandCol="1" outline="0" offset="IV256" fieldPosition="0"/>
    </format>
    <format dxfId="547">
      <pivotArea dataOnly="0" labelOnly="1" grandCol="1" outline="0" offset="IV1" fieldPosition="0"/>
    </format>
    <format dxfId="546">
      <pivotArea type="origin" dataOnly="0" labelOnly="1" outline="0" fieldPosition="0"/>
    </format>
    <format dxfId="545">
      <pivotArea field="0" type="button" dataOnly="0" labelOnly="1" outline="0" axis="axisRow" fieldPosition="0"/>
    </format>
    <format dxfId="544">
      <pivotArea dataOnly="0" labelOnly="1" outline="0" fieldPosition="0">
        <references count="1">
          <reference field="0" count="0"/>
        </references>
      </pivotArea>
    </format>
    <format dxfId="543">
      <pivotArea field="-2" type="button" dataOnly="0" labelOnly="1" outline="0" axis="axisRow" fieldPosition="1"/>
    </format>
    <format dxfId="542">
      <pivotArea field="0" dataOnly="0" labelOnly="1" grandRow="1" outline="0" offset="IV256" axis="axisRow" fieldPosition="0">
        <references count="1">
          <reference field="4294967294" count="1" selected="0">
            <x v="0"/>
          </reference>
        </references>
      </pivotArea>
    </format>
    <format dxfId="541">
      <pivotArea field="0" dataOnly="0" labelOnly="1" grandRow="1" outline="0" offset="IV256" axis="axisRow" fieldPosition="0">
        <references count="1">
          <reference field="4294967294" count="1" selected="0">
            <x v="1"/>
          </reference>
        </references>
      </pivotArea>
    </format>
    <format dxfId="540">
      <pivotArea field="0" dataOnly="0" labelOnly="1" grandRow="1" outline="0" offset="IV256" axis="axisRow" fieldPosition="0">
        <references count="1">
          <reference field="4294967294" count="1" selected="0">
            <x v="2"/>
          </reference>
        </references>
      </pivotArea>
    </format>
    <format dxfId="539">
      <pivotArea field="0" dataOnly="0" labelOnly="1" grandRow="1" outline="0" offset="IV256" axis="axisRow" fieldPosition="0">
        <references count="1">
          <reference field="4294967294" count="1" selected="0">
            <x v="3"/>
          </reference>
        </references>
      </pivotArea>
    </format>
    <format dxfId="538">
      <pivotArea field="0" dataOnly="0" labelOnly="1" grandRow="1" outline="0" offset="IV256" axis="axisRow" fieldPosition="0">
        <references count="1">
          <reference field="4294967294" count="1" selected="0">
            <x v="4"/>
          </reference>
        </references>
      </pivotArea>
    </format>
    <format dxfId="537">
      <pivotArea field="0" dataOnly="0" labelOnly="1" grandRow="1" outline="0" offset="IV256" axis="axisRow" fieldPosition="0">
        <references count="1">
          <reference field="4294967294" count="1" selected="0">
            <x v="5"/>
          </reference>
        </references>
      </pivotArea>
    </format>
    <format dxfId="536">
      <pivotArea field="0" dataOnly="0" labelOnly="1" grandRow="1" outline="0" offset="IV256" axis="axisRow" fieldPosition="0">
        <references count="1">
          <reference field="4294967294" count="1" selected="0">
            <x v="6"/>
          </reference>
        </references>
      </pivotArea>
    </format>
    <format dxfId="535">
      <pivotArea field="0" dataOnly="0" labelOnly="1" grandRow="1" outline="0" offset="IV256" axis="axisRow" fieldPosition="0">
        <references count="1">
          <reference field="4294967294" count="1" selected="0">
            <x v="7"/>
          </reference>
        </references>
      </pivotArea>
    </format>
    <format dxfId="534">
      <pivotArea field="0" dataOnly="0" labelOnly="1" grandRow="1" outline="0" offset="IV256" axis="axisRow" fieldPosition="0">
        <references count="1">
          <reference field="4294967294" count="1" selected="0">
            <x v="8"/>
          </reference>
        </references>
      </pivotArea>
    </format>
    <format dxfId="533">
      <pivotArea field="0" dataOnly="0" labelOnly="1" grandRow="1" outline="0" offset="IV256" axis="axisRow" fieldPosition="0">
        <references count="1">
          <reference field="4294967294" count="1" selected="0">
            <x v="10"/>
          </reference>
        </references>
      </pivotArea>
    </format>
    <format dxfId="532">
      <pivotArea field="0" dataOnly="0" labelOnly="1" grandRow="1" outline="0" offset="IV256" axis="axisRow" fieldPosition="0">
        <references count="1">
          <reference field="4294967294" count="1" selected="0">
            <x v="11"/>
          </reference>
        </references>
      </pivotArea>
    </format>
    <format dxfId="531">
      <pivotArea dataOnly="0" labelOnly="1" outline="0" fieldPosition="0">
        <references count="2">
          <reference field="4294967294" count="0"/>
          <reference field="0" count="1" selected="0">
            <x v="0"/>
          </reference>
        </references>
      </pivotArea>
    </format>
    <format dxfId="530">
      <pivotArea dataOnly="0" labelOnly="1" outline="0" fieldPosition="0">
        <references count="2">
          <reference field="4294967294" count="0"/>
          <reference field="0" count="1" selected="0">
            <x v="1"/>
          </reference>
        </references>
      </pivotArea>
    </format>
    <format dxfId="529">
      <pivotArea dataOnly="0" labelOnly="1" outline="0" fieldPosition="0">
        <references count="2">
          <reference field="4294967294" count="0"/>
          <reference field="0" count="1" selected="0">
            <x v="2"/>
          </reference>
        </references>
      </pivotArea>
    </format>
    <format dxfId="528">
      <pivotArea dataOnly="0" labelOnly="1" outline="0" fieldPosition="0">
        <references count="2">
          <reference field="4294967294" count="0"/>
          <reference field="0" count="1" selected="0">
            <x v="3"/>
          </reference>
        </references>
      </pivotArea>
    </format>
    <format dxfId="527">
      <pivotArea dataOnly="0" labelOnly="1" outline="0" fieldPosition="0">
        <references count="2">
          <reference field="4294967294" count="0"/>
          <reference field="0" count="1" selected="0">
            <x v="4"/>
          </reference>
        </references>
      </pivotArea>
    </format>
    <format dxfId="526">
      <pivotArea dataOnly="0" labelOnly="1" outline="0" fieldPosition="0">
        <references count="2">
          <reference field="4294967294" count="0"/>
          <reference field="0" count="1" selected="0">
            <x v="6"/>
          </reference>
        </references>
      </pivotArea>
    </format>
    <format dxfId="525">
      <pivotArea dataOnly="0" labelOnly="1" outline="0" fieldPosition="0">
        <references count="2">
          <reference field="4294967294" count="0"/>
          <reference field="0" count="1" selected="0">
            <x v="7"/>
          </reference>
        </references>
      </pivotArea>
    </format>
    <format dxfId="524">
      <pivotArea dataOnly="0" labelOnly="1" outline="0" fieldPosition="0">
        <references count="2">
          <reference field="4294967294" count="0"/>
          <reference field="0" count="1" selected="0">
            <x v="8"/>
          </reference>
        </references>
      </pivotArea>
    </format>
    <format dxfId="523">
      <pivotArea dataOnly="0" labelOnly="1" outline="0" fieldPosition="0">
        <references count="2">
          <reference field="4294967294" count="0"/>
          <reference field="0" count="1" selected="0">
            <x v="9"/>
          </reference>
        </references>
      </pivotArea>
    </format>
    <format dxfId="522">
      <pivotArea dataOnly="0" labelOnly="1" outline="0" fieldPosition="0">
        <references count="2">
          <reference field="4294967294" count="0"/>
          <reference field="0" count="1" selected="0">
            <x v="10"/>
          </reference>
        </references>
      </pivotArea>
    </format>
    <format dxfId="521">
      <pivotArea dataOnly="0" labelOnly="1" outline="0" fieldPosition="0">
        <references count="2">
          <reference field="4294967294" count="0"/>
          <reference field="0" count="1" selected="0">
            <x v="11"/>
          </reference>
        </references>
      </pivotArea>
    </format>
    <format dxfId="520">
      <pivotArea dataOnly="0" labelOnly="1" outline="0" fieldPosition="0">
        <references count="2">
          <reference field="4294967294" count="0"/>
          <reference field="0" count="1" selected="0">
            <x v="12"/>
          </reference>
        </references>
      </pivotArea>
    </format>
    <format dxfId="519">
      <pivotArea dataOnly="0" labelOnly="1" outline="0" fieldPosition="0">
        <references count="2">
          <reference field="4294967294" count="0"/>
          <reference field="0" count="1" selected="0">
            <x v="13"/>
          </reference>
        </references>
      </pivotArea>
    </format>
    <format dxfId="518">
      <pivotArea dataOnly="0" labelOnly="1" outline="0" fieldPosition="0">
        <references count="2">
          <reference field="4294967294" count="0"/>
          <reference field="0" count="1" selected="0">
            <x v="14"/>
          </reference>
        </references>
      </pivotArea>
    </format>
    <format dxfId="517">
      <pivotArea dataOnly="0" labelOnly="1" outline="0" fieldPosition="0">
        <references count="2">
          <reference field="4294967294" count="0"/>
          <reference field="0" count="1" selected="0">
            <x v="15"/>
          </reference>
        </references>
      </pivotArea>
    </format>
    <format dxfId="516">
      <pivotArea dataOnly="0" labelOnly="1" outline="0" fieldPosition="0">
        <references count="2">
          <reference field="4294967294" count="0"/>
          <reference field="0" count="1" selected="0">
            <x v="16"/>
          </reference>
        </references>
      </pivotArea>
    </format>
    <format dxfId="515">
      <pivotArea outline="0" fieldPosition="0">
        <references count="2">
          <reference field="4294967294" count="1" selected="0">
            <x v="2"/>
          </reference>
          <reference field="0" count="1" selected="0">
            <x v="0"/>
          </reference>
        </references>
      </pivotArea>
    </format>
    <format dxfId="514">
      <pivotArea outline="0" fieldPosition="0">
        <references count="2">
          <reference field="4294967294" count="1" selected="0">
            <x v="0"/>
          </reference>
          <reference field="0" count="1" selected="0">
            <x v="14"/>
          </reference>
        </references>
      </pivotArea>
    </format>
    <format dxfId="513">
      <pivotArea outline="0" fieldPosition="0">
        <references count="2">
          <reference field="4294967294" count="1" selected="0">
            <x v="0"/>
          </reference>
          <reference field="0" count="1" selected="0">
            <x v="16"/>
          </reference>
        </references>
      </pivotArea>
    </format>
    <format dxfId="512">
      <pivotArea outline="0" fieldPosition="0">
        <references count="2">
          <reference field="4294967294" count="1" selected="0">
            <x v="0"/>
          </reference>
          <reference field="0" count="1" selected="0">
            <x v="14"/>
          </reference>
        </references>
      </pivotArea>
    </format>
    <format dxfId="511">
      <pivotArea outline="0" fieldPosition="0">
        <references count="2">
          <reference field="4294967294" count="1" selected="0">
            <x v="0"/>
          </reference>
          <reference field="0" count="1" selected="0">
            <x v="16"/>
          </reference>
        </references>
      </pivotArea>
    </format>
    <format dxfId="510">
      <pivotArea type="topRight" dataOnly="0" labelOnly="1" outline="0" offset="E1" fieldPosition="0"/>
    </format>
    <format dxfId="509">
      <pivotArea type="all" dataOnly="0" outline="0" fieldPosition="0"/>
    </format>
    <format dxfId="508">
      <pivotArea type="topRight" dataOnly="0" labelOnly="1" outline="0" offset="F1" fieldPosition="0"/>
    </format>
    <format dxfId="507">
      <pivotArea type="topRight" dataOnly="0" labelOnly="1" outline="0" offset="J1" fieldPosition="0"/>
    </format>
    <format dxfId="506">
      <pivotArea type="topRight" dataOnly="0" labelOnly="1" outline="0" offset="K1" fieldPosition="0"/>
    </format>
    <format dxfId="505">
      <pivotArea type="origin" dataOnly="0" labelOnly="1" outline="0" offset="A2:B2" fieldPosition="0"/>
    </format>
    <format dxfId="504">
      <pivotArea dataOnly="0" labelOnly="1" outline="0" offset="IV1" fieldPosition="0">
        <references count="1">
          <reference field="0" count="1">
            <x v="0"/>
          </reference>
        </references>
      </pivotArea>
    </format>
    <format dxfId="503">
      <pivotArea dataOnly="0" labelOnly="1" outline="0" offset="IV1" fieldPosition="0">
        <references count="1">
          <reference field="0" count="1">
            <x v="1"/>
          </reference>
        </references>
      </pivotArea>
    </format>
    <format dxfId="502">
      <pivotArea dataOnly="0" labelOnly="1" outline="0" offset="IV1" fieldPosition="0">
        <references count="1">
          <reference field="0" count="1">
            <x v="2"/>
          </reference>
        </references>
      </pivotArea>
    </format>
    <format dxfId="501">
      <pivotArea dataOnly="0" labelOnly="1" outline="0" offset="IV1" fieldPosition="0">
        <references count="1">
          <reference field="0" count="1">
            <x v="3"/>
          </reference>
        </references>
      </pivotArea>
    </format>
    <format dxfId="500">
      <pivotArea dataOnly="0" labelOnly="1" outline="0" offset="IV1" fieldPosition="0">
        <references count="1">
          <reference field="0" count="1">
            <x v="4"/>
          </reference>
        </references>
      </pivotArea>
    </format>
    <format dxfId="499">
      <pivotArea dataOnly="0" labelOnly="1" outline="0" offset="IV1" fieldPosition="0">
        <references count="1">
          <reference field="0" count="1">
            <x v="6"/>
          </reference>
        </references>
      </pivotArea>
    </format>
    <format dxfId="498">
      <pivotArea dataOnly="0" labelOnly="1" outline="0" offset="IV1" fieldPosition="0">
        <references count="1">
          <reference field="0" count="1">
            <x v="7"/>
          </reference>
        </references>
      </pivotArea>
    </format>
    <format dxfId="497">
      <pivotArea dataOnly="0" labelOnly="1" outline="0" offset="IV1" fieldPosition="0">
        <references count="1">
          <reference field="0" count="1">
            <x v="8"/>
          </reference>
        </references>
      </pivotArea>
    </format>
    <format dxfId="496">
      <pivotArea dataOnly="0" labelOnly="1" outline="0" offset="IV1" fieldPosition="0">
        <references count="1">
          <reference field="0" count="1">
            <x v="9"/>
          </reference>
        </references>
      </pivotArea>
    </format>
    <format dxfId="495">
      <pivotArea dataOnly="0" labelOnly="1" outline="0" offset="IV1" fieldPosition="0">
        <references count="1">
          <reference field="0" count="1">
            <x v="10"/>
          </reference>
        </references>
      </pivotArea>
    </format>
    <format dxfId="494">
      <pivotArea dataOnly="0" labelOnly="1" outline="0" offset="IV1" fieldPosition="0">
        <references count="1">
          <reference field="0" count="1">
            <x v="11"/>
          </reference>
        </references>
      </pivotArea>
    </format>
    <format dxfId="493">
      <pivotArea dataOnly="0" labelOnly="1" outline="0" offset="IV1" fieldPosition="0">
        <references count="1">
          <reference field="0" count="1">
            <x v="12"/>
          </reference>
        </references>
      </pivotArea>
    </format>
    <format dxfId="492">
      <pivotArea dataOnly="0" labelOnly="1" outline="0" offset="IV1" fieldPosition="0">
        <references count="1">
          <reference field="0" count="1">
            <x v="13"/>
          </reference>
        </references>
      </pivotArea>
    </format>
    <format dxfId="491">
      <pivotArea dataOnly="0" labelOnly="1" outline="0" offset="IV1" fieldPosition="0">
        <references count="1">
          <reference field="0" count="1">
            <x v="14"/>
          </reference>
        </references>
      </pivotArea>
    </format>
    <format dxfId="490">
      <pivotArea dataOnly="0" labelOnly="1" outline="0" offset="IV1" fieldPosition="0">
        <references count="1">
          <reference field="0" count="1">
            <x v="15"/>
          </reference>
        </references>
      </pivotArea>
    </format>
    <format dxfId="489">
      <pivotArea dataOnly="0" labelOnly="1" outline="0" offset="IV1" fieldPosition="0">
        <references count="1">
          <reference field="0" count="1">
            <x v="16"/>
          </reference>
        </references>
      </pivotArea>
    </format>
    <format dxfId="488">
      <pivotArea outline="0" fieldPosition="0">
        <references count="2">
          <reference field="4294967294" count="3" selected="0">
            <x v="6"/>
            <x v="7"/>
            <x v="8"/>
          </reference>
          <reference field="0" count="1" selected="0">
            <x v="6"/>
          </reference>
        </references>
      </pivotArea>
    </format>
    <format dxfId="487">
      <pivotArea type="origin" dataOnly="0" labelOnly="1" outline="0" fieldPosition="0"/>
    </format>
    <format dxfId="486">
      <pivotArea field="0" type="button" dataOnly="0" labelOnly="1" outline="0" axis="axisRow" fieldPosition="0"/>
    </format>
    <format dxfId="485">
      <pivotArea dataOnly="0" labelOnly="1" outline="0" fieldPosition="0">
        <references count="1">
          <reference field="0" count="0"/>
        </references>
      </pivotArea>
    </format>
    <format dxfId="484">
      <pivotArea field="0" dataOnly="0" labelOnly="1" grandRow="1" outline="0" offset="A256" axis="axisRow" fieldPosition="0">
        <references count="1">
          <reference field="4294967294" count="1" selected="0">
            <x v="0"/>
          </reference>
        </references>
      </pivotArea>
    </format>
    <format dxfId="483">
      <pivotArea field="0" dataOnly="0" labelOnly="1" grandRow="1" outline="0" offset="A256" axis="axisRow" fieldPosition="0">
        <references count="1">
          <reference field="4294967294" count="1" selected="0">
            <x v="1"/>
          </reference>
        </references>
      </pivotArea>
    </format>
    <format dxfId="482">
      <pivotArea field="0" dataOnly="0" labelOnly="1" grandRow="1" outline="0" offset="A256" axis="axisRow" fieldPosition="0">
        <references count="1">
          <reference field="4294967294" count="1" selected="0">
            <x v="2"/>
          </reference>
        </references>
      </pivotArea>
    </format>
    <format dxfId="481">
      <pivotArea field="0" dataOnly="0" labelOnly="1" grandRow="1" outline="0" offset="A256" axis="axisRow" fieldPosition="0">
        <references count="1">
          <reference field="4294967294" count="1" selected="0">
            <x v="3"/>
          </reference>
        </references>
      </pivotArea>
    </format>
    <format dxfId="480">
      <pivotArea field="0" dataOnly="0" labelOnly="1" grandRow="1" outline="0" offset="A256" axis="axisRow" fieldPosition="0">
        <references count="1">
          <reference field="4294967294" count="1" selected="0">
            <x v="4"/>
          </reference>
        </references>
      </pivotArea>
    </format>
    <format dxfId="479">
      <pivotArea field="0" dataOnly="0" labelOnly="1" grandRow="1" outline="0" offset="A256" axis="axisRow" fieldPosition="0">
        <references count="1">
          <reference field="4294967294" count="1" selected="0">
            <x v="5"/>
          </reference>
        </references>
      </pivotArea>
    </format>
    <format dxfId="478">
      <pivotArea field="0" dataOnly="0" labelOnly="1" grandRow="1" outline="0" offset="A256" axis="axisRow" fieldPosition="0">
        <references count="1">
          <reference field="4294967294" count="1" selected="0">
            <x v="6"/>
          </reference>
        </references>
      </pivotArea>
    </format>
    <format dxfId="477">
      <pivotArea field="0" dataOnly="0" labelOnly="1" grandRow="1" outline="0" offset="A256" axis="axisRow" fieldPosition="0">
        <references count="1">
          <reference field="4294967294" count="1" selected="0">
            <x v="7"/>
          </reference>
        </references>
      </pivotArea>
    </format>
    <format dxfId="476">
      <pivotArea field="0" dataOnly="0" labelOnly="1" grandRow="1" outline="0" offset="A256" axis="axisRow" fieldPosition="0">
        <references count="1">
          <reference field="4294967294" count="1" selected="0">
            <x v="8"/>
          </reference>
        </references>
      </pivotArea>
    </format>
    <format dxfId="475">
      <pivotArea field="0" dataOnly="0" labelOnly="1" grandRow="1" outline="0" offset="A256" axis="axisRow" fieldPosition="0">
        <references count="1">
          <reference field="4294967294" count="1" selected="0">
            <x v="10"/>
          </reference>
        </references>
      </pivotArea>
    </format>
    <format dxfId="474">
      <pivotArea field="0" dataOnly="0" labelOnly="1" grandRow="1" outline="0" offset="A256" axis="axisRow" fieldPosition="0">
        <references count="1">
          <reference field="4294967294" count="1" selected="0">
            <x v="11"/>
          </reference>
        </references>
      </pivotArea>
    </format>
    <format dxfId="473">
      <pivotArea outline="0" fieldPosition="0">
        <references count="2">
          <reference field="4294967294" count="1" selected="0">
            <x v="11"/>
          </reference>
          <reference field="0" count="1" selected="0">
            <x v="0"/>
          </reference>
        </references>
      </pivotArea>
    </format>
    <format dxfId="472">
      <pivotArea dataOnly="0" labelOnly="1" outline="0" offset="IV11:IV256" fieldPosition="0">
        <references count="1">
          <reference field="0" count="1">
            <x v="0"/>
          </reference>
        </references>
      </pivotArea>
    </format>
    <format dxfId="471">
      <pivotArea outline="0" fieldPosition="0">
        <references count="2">
          <reference field="4294967294" count="1" selected="0">
            <x v="11"/>
          </reference>
          <reference field="0" count="1" selected="0">
            <x v="0"/>
          </reference>
        </references>
      </pivotArea>
    </format>
    <format dxfId="470">
      <pivotArea dataOnly="0" labelOnly="1" outline="0" offset="IV256" fieldPosition="0">
        <references count="1">
          <reference field="0" count="1">
            <x v="16"/>
          </reference>
        </references>
      </pivotArea>
    </format>
    <format dxfId="469">
      <pivotArea dataOnly="0" labelOnly="1" outline="0" fieldPosition="0">
        <references count="2">
          <reference field="4294967294" count="1">
            <x v="11"/>
          </reference>
          <reference field="0" count="1" selected="0">
            <x v="16"/>
          </reference>
        </references>
      </pivotArea>
    </format>
    <format dxfId="468">
      <pivotArea dataOnly="0" labelOnly="1" outline="0" offset="IV256" fieldPosition="0">
        <references count="1">
          <reference field="0" count="1">
            <x v="15"/>
          </reference>
        </references>
      </pivotArea>
    </format>
    <format dxfId="467">
      <pivotArea dataOnly="0" labelOnly="1" outline="0" fieldPosition="0">
        <references count="2">
          <reference field="4294967294" count="1">
            <x v="11"/>
          </reference>
          <reference field="0" count="1" selected="0">
            <x v="15"/>
          </reference>
        </references>
      </pivotArea>
    </format>
    <format dxfId="466">
      <pivotArea dataOnly="0" labelOnly="1" outline="0" offset="IV256" fieldPosition="0">
        <references count="1">
          <reference field="0" count="1">
            <x v="14"/>
          </reference>
        </references>
      </pivotArea>
    </format>
    <format dxfId="465">
      <pivotArea dataOnly="0" labelOnly="1" outline="0" fieldPosition="0">
        <references count="2">
          <reference field="4294967294" count="1">
            <x v="11"/>
          </reference>
          <reference field="0" count="1" selected="0">
            <x v="14"/>
          </reference>
        </references>
      </pivotArea>
    </format>
    <format dxfId="464">
      <pivotArea dataOnly="0" labelOnly="1" outline="0" offset="IV256" fieldPosition="0">
        <references count="1">
          <reference field="0" count="1">
            <x v="13"/>
          </reference>
        </references>
      </pivotArea>
    </format>
    <format dxfId="463">
      <pivotArea dataOnly="0" labelOnly="1" outline="0" fieldPosition="0">
        <references count="2">
          <reference field="4294967294" count="1">
            <x v="11"/>
          </reference>
          <reference field="0" count="1" selected="0">
            <x v="13"/>
          </reference>
        </references>
      </pivotArea>
    </format>
    <format dxfId="462">
      <pivotArea dataOnly="0" labelOnly="1" outline="0" offset="IV256" fieldPosition="0">
        <references count="1">
          <reference field="0" count="1">
            <x v="12"/>
          </reference>
        </references>
      </pivotArea>
    </format>
    <format dxfId="461">
      <pivotArea dataOnly="0" labelOnly="1" outline="0" fieldPosition="0">
        <references count="2">
          <reference field="4294967294" count="1">
            <x v="11"/>
          </reference>
          <reference field="0" count="1" selected="0">
            <x v="12"/>
          </reference>
        </references>
      </pivotArea>
    </format>
    <format dxfId="460">
      <pivotArea dataOnly="0" labelOnly="1" outline="0" offset="IV256" fieldPosition="0">
        <references count="1">
          <reference field="0" count="1">
            <x v="11"/>
          </reference>
        </references>
      </pivotArea>
    </format>
    <format dxfId="459">
      <pivotArea dataOnly="0" labelOnly="1" outline="0" fieldPosition="0">
        <references count="2">
          <reference field="4294967294" count="1">
            <x v="11"/>
          </reference>
          <reference field="0" count="1" selected="0">
            <x v="11"/>
          </reference>
        </references>
      </pivotArea>
    </format>
    <format dxfId="458">
      <pivotArea dataOnly="0" labelOnly="1" outline="0" offset="IV256" fieldPosition="0">
        <references count="1">
          <reference field="0" count="1">
            <x v="10"/>
          </reference>
        </references>
      </pivotArea>
    </format>
    <format dxfId="457">
      <pivotArea dataOnly="0" labelOnly="1" outline="0" fieldPosition="0">
        <references count="2">
          <reference field="4294967294" count="1">
            <x v="11"/>
          </reference>
          <reference field="0" count="1" selected="0">
            <x v="10"/>
          </reference>
        </references>
      </pivotArea>
    </format>
    <format dxfId="456">
      <pivotArea dataOnly="0" labelOnly="1" outline="0" offset="IV256" fieldPosition="0">
        <references count="1">
          <reference field="0" count="1">
            <x v="9"/>
          </reference>
        </references>
      </pivotArea>
    </format>
    <format dxfId="455">
      <pivotArea dataOnly="0" labelOnly="1" outline="0" fieldPosition="0">
        <references count="2">
          <reference field="4294967294" count="1">
            <x v="11"/>
          </reference>
          <reference field="0" count="1" selected="0">
            <x v="9"/>
          </reference>
        </references>
      </pivotArea>
    </format>
    <format dxfId="454">
      <pivotArea dataOnly="0" labelOnly="1" outline="0" offset="IV256" fieldPosition="0">
        <references count="1">
          <reference field="0" count="1">
            <x v="8"/>
          </reference>
        </references>
      </pivotArea>
    </format>
    <format dxfId="453">
      <pivotArea dataOnly="0" labelOnly="1" outline="0" fieldPosition="0">
        <references count="2">
          <reference field="4294967294" count="1">
            <x v="11"/>
          </reference>
          <reference field="0" count="1" selected="0">
            <x v="8"/>
          </reference>
        </references>
      </pivotArea>
    </format>
    <format dxfId="452">
      <pivotArea dataOnly="0" labelOnly="1" outline="0" offset="IV256" fieldPosition="0">
        <references count="1">
          <reference field="0" count="1">
            <x v="7"/>
          </reference>
        </references>
      </pivotArea>
    </format>
    <format dxfId="451">
      <pivotArea dataOnly="0" labelOnly="1" outline="0" fieldPosition="0">
        <references count="2">
          <reference field="4294967294" count="1">
            <x v="11"/>
          </reference>
          <reference field="0" count="1" selected="0">
            <x v="7"/>
          </reference>
        </references>
      </pivotArea>
    </format>
    <format dxfId="450">
      <pivotArea dataOnly="0" labelOnly="1" outline="0" offset="IV256" fieldPosition="0">
        <references count="1">
          <reference field="0" count="1">
            <x v="6"/>
          </reference>
        </references>
      </pivotArea>
    </format>
    <format dxfId="449">
      <pivotArea dataOnly="0" labelOnly="1" outline="0" fieldPosition="0">
        <references count="2">
          <reference field="4294967294" count="1">
            <x v="11"/>
          </reference>
          <reference field="0" count="1" selected="0">
            <x v="6"/>
          </reference>
        </references>
      </pivotArea>
    </format>
    <format dxfId="448">
      <pivotArea dataOnly="0" labelOnly="1" outline="0" offset="IV256" fieldPosition="0">
        <references count="1">
          <reference field="0" count="1">
            <x v="4"/>
          </reference>
        </references>
      </pivotArea>
    </format>
    <format dxfId="447">
      <pivotArea dataOnly="0" labelOnly="1" outline="0" fieldPosition="0">
        <references count="2">
          <reference field="4294967294" count="1">
            <x v="11"/>
          </reference>
          <reference field="0" count="1" selected="0">
            <x v="4"/>
          </reference>
        </references>
      </pivotArea>
    </format>
    <format dxfId="446">
      <pivotArea dataOnly="0" labelOnly="1" outline="0" offset="IV256" fieldPosition="0">
        <references count="1">
          <reference field="0" count="1">
            <x v="3"/>
          </reference>
        </references>
      </pivotArea>
    </format>
    <format dxfId="445">
      <pivotArea dataOnly="0" labelOnly="1" outline="0" fieldPosition="0">
        <references count="2">
          <reference field="4294967294" count="1">
            <x v="11"/>
          </reference>
          <reference field="0" count="1" selected="0">
            <x v="3"/>
          </reference>
        </references>
      </pivotArea>
    </format>
    <format dxfId="444">
      <pivotArea dataOnly="0" labelOnly="1" outline="0" offset="IV256" fieldPosition="0">
        <references count="1">
          <reference field="0" count="1">
            <x v="2"/>
          </reference>
        </references>
      </pivotArea>
    </format>
    <format dxfId="443">
      <pivotArea dataOnly="0" labelOnly="1" outline="0" fieldPosition="0">
        <references count="2">
          <reference field="4294967294" count="1">
            <x v="11"/>
          </reference>
          <reference field="0" count="1" selected="0">
            <x v="2"/>
          </reference>
        </references>
      </pivotArea>
    </format>
    <format dxfId="442">
      <pivotArea dataOnly="0" labelOnly="1" outline="0" offset="IV256" fieldPosition="0">
        <references count="1">
          <reference field="0" count="1">
            <x v="1"/>
          </reference>
        </references>
      </pivotArea>
    </format>
    <format dxfId="441">
      <pivotArea dataOnly="0" labelOnly="1" outline="0" fieldPosition="0">
        <references count="2">
          <reference field="4294967294" count="1">
            <x v="11"/>
          </reference>
          <reference field="0" count="1" selected="0">
            <x v="1"/>
          </reference>
        </references>
      </pivotArea>
    </format>
    <format dxfId="440">
      <pivotArea dataOnly="0" labelOnly="1" outline="0" offset="IV256" fieldPosition="0">
        <references count="1">
          <reference field="0" count="1">
            <x v="0"/>
          </reference>
        </references>
      </pivotArea>
    </format>
    <format dxfId="439">
      <pivotArea dataOnly="0" labelOnly="1" outline="0" fieldPosition="0">
        <references count="2">
          <reference field="4294967294" count="1">
            <x v="11"/>
          </reference>
          <reference field="0" count="1" selected="0">
            <x v="0"/>
          </reference>
        </references>
      </pivotArea>
    </format>
    <format dxfId="438">
      <pivotArea outline="0" fieldPosition="0">
        <references count="2">
          <reference field="4294967294" count="1" selected="0">
            <x v="11"/>
          </reference>
          <reference field="0" count="1" selected="0">
            <x v="0"/>
          </reference>
        </references>
      </pivotArea>
    </format>
    <format dxfId="437">
      <pivotArea dataOnly="0" labelOnly="1" outline="0" fieldPosition="0">
        <references count="2">
          <reference field="4294967294" count="1">
            <x v="11"/>
          </reference>
          <reference field="0" count="1" selected="0">
            <x v="0"/>
          </reference>
        </references>
      </pivotArea>
    </format>
    <format dxfId="436">
      <pivotArea dataOnly="0" labelOnly="1" outline="0" fieldPosition="0">
        <references count="2">
          <reference field="4294967294" count="1">
            <x v="11"/>
          </reference>
          <reference field="0" count="1" selected="0">
            <x v="0"/>
          </reference>
        </references>
      </pivotArea>
    </format>
    <format dxfId="435">
      <pivotArea dataOnly="0" labelOnly="1" outline="0" fieldPosition="0">
        <references count="2">
          <reference field="4294967294" count="1">
            <x v="11"/>
          </reference>
          <reference field="0" count="1" selected="0">
            <x v="1"/>
          </reference>
        </references>
      </pivotArea>
    </format>
    <format dxfId="434">
      <pivotArea dataOnly="0" labelOnly="1" outline="0" fieldPosition="0">
        <references count="2">
          <reference field="4294967294" count="1">
            <x v="11"/>
          </reference>
          <reference field="0" count="1" selected="0">
            <x v="2"/>
          </reference>
        </references>
      </pivotArea>
    </format>
    <format dxfId="433">
      <pivotArea dataOnly="0" labelOnly="1" outline="0" fieldPosition="0">
        <references count="2">
          <reference field="4294967294" count="1">
            <x v="11"/>
          </reference>
          <reference field="0" count="1" selected="0">
            <x v="3"/>
          </reference>
        </references>
      </pivotArea>
    </format>
    <format dxfId="432">
      <pivotArea dataOnly="0" labelOnly="1" outline="0" fieldPosition="0">
        <references count="2">
          <reference field="4294967294" count="1">
            <x v="11"/>
          </reference>
          <reference field="0" count="1" selected="0">
            <x v="4"/>
          </reference>
        </references>
      </pivotArea>
    </format>
    <format dxfId="431">
      <pivotArea dataOnly="0" labelOnly="1" outline="0" fieldPosition="0">
        <references count="2">
          <reference field="4294967294" count="1">
            <x v="11"/>
          </reference>
          <reference field="0" count="1" selected="0">
            <x v="6"/>
          </reference>
        </references>
      </pivotArea>
    </format>
    <format dxfId="430">
      <pivotArea dataOnly="0" labelOnly="1" outline="0" fieldPosition="0">
        <references count="2">
          <reference field="4294967294" count="1">
            <x v="11"/>
          </reference>
          <reference field="0" count="1" selected="0">
            <x v="7"/>
          </reference>
        </references>
      </pivotArea>
    </format>
    <format dxfId="429">
      <pivotArea dataOnly="0" labelOnly="1" outline="0" fieldPosition="0">
        <references count="2">
          <reference field="4294967294" count="1">
            <x v="11"/>
          </reference>
          <reference field="0" count="1" selected="0">
            <x v="8"/>
          </reference>
        </references>
      </pivotArea>
    </format>
    <format dxfId="428">
      <pivotArea dataOnly="0" labelOnly="1" outline="0" fieldPosition="0">
        <references count="2">
          <reference field="4294967294" count="1">
            <x v="11"/>
          </reference>
          <reference field="0" count="1" selected="0">
            <x v="9"/>
          </reference>
        </references>
      </pivotArea>
    </format>
    <format dxfId="427">
      <pivotArea dataOnly="0" labelOnly="1" outline="0" fieldPosition="0">
        <references count="2">
          <reference field="4294967294" count="1">
            <x v="11"/>
          </reference>
          <reference field="0" count="1" selected="0">
            <x v="10"/>
          </reference>
        </references>
      </pivotArea>
    </format>
    <format dxfId="426">
      <pivotArea dataOnly="0" labelOnly="1" outline="0" fieldPosition="0">
        <references count="2">
          <reference field="4294967294" count="1">
            <x v="11"/>
          </reference>
          <reference field="0" count="1" selected="0">
            <x v="11"/>
          </reference>
        </references>
      </pivotArea>
    </format>
    <format dxfId="425">
      <pivotArea dataOnly="0" labelOnly="1" outline="0" fieldPosition="0">
        <references count="2">
          <reference field="4294967294" count="1">
            <x v="11"/>
          </reference>
          <reference field="0" count="1" selected="0">
            <x v="12"/>
          </reference>
        </references>
      </pivotArea>
    </format>
    <format dxfId="424">
      <pivotArea dataOnly="0" labelOnly="1" outline="0" fieldPosition="0">
        <references count="2">
          <reference field="4294967294" count="1">
            <x v="11"/>
          </reference>
          <reference field="0" count="1" selected="0">
            <x v="13"/>
          </reference>
        </references>
      </pivotArea>
    </format>
    <format dxfId="423">
      <pivotArea dataOnly="0" labelOnly="1" outline="0" fieldPosition="0">
        <references count="2">
          <reference field="4294967294" count="1">
            <x v="11"/>
          </reference>
          <reference field="0" count="1" selected="0">
            <x v="14"/>
          </reference>
        </references>
      </pivotArea>
    </format>
    <format dxfId="422">
      <pivotArea dataOnly="0" labelOnly="1" outline="0" fieldPosition="0">
        <references count="2">
          <reference field="4294967294" count="1">
            <x v="11"/>
          </reference>
          <reference field="0" count="1" selected="0">
            <x v="15"/>
          </reference>
        </references>
      </pivotArea>
    </format>
    <format dxfId="421">
      <pivotArea dataOnly="0" labelOnly="1" outline="0" fieldPosition="0">
        <references count="2">
          <reference field="4294967294" count="1">
            <x v="11"/>
          </reference>
          <reference field="0" count="1" selected="0">
            <x v="16"/>
          </reference>
        </references>
      </pivotArea>
    </format>
    <format dxfId="420">
      <pivotArea dataOnly="0" labelOnly="1" outline="0" offset="IV256" fieldPosition="0">
        <references count="1">
          <reference field="60" count="1" defaultSubtotal="1">
            <x v="0"/>
          </reference>
        </references>
      </pivotArea>
    </format>
    <format dxfId="419">
      <pivotArea dataOnly="0" labelOnly="1" outline="0" offset="IV256" fieldPosition="0">
        <references count="1">
          <reference field="60" count="1" defaultSubtotal="1">
            <x v="1"/>
          </reference>
        </references>
      </pivotArea>
    </format>
    <format dxfId="418">
      <pivotArea dataOnly="0" labelOnly="1" outline="0" offset="IV256" fieldPosition="0">
        <references count="1">
          <reference field="60" count="1" defaultSubtotal="1">
            <x v="3"/>
          </reference>
        </references>
      </pivotArea>
    </format>
    <format dxfId="417">
      <pivotArea dataOnly="0" labelOnly="1" outline="0" offset="IV256" fieldPosition="0">
        <references count="1">
          <reference field="60" count="1" defaultSubtotal="1">
            <x v="7"/>
          </reference>
        </references>
      </pivotArea>
    </format>
    <format dxfId="416">
      <pivotArea dataOnly="0" labelOnly="1" outline="0" fieldPosition="0">
        <references count="2">
          <reference field="4" count="6">
            <x v="0"/>
            <x v="1"/>
            <x v="2"/>
            <x v="3"/>
            <x v="4"/>
            <x v="5"/>
          </reference>
          <reference field="60" count="1" selected="0">
            <x v="0"/>
          </reference>
        </references>
      </pivotArea>
    </format>
    <format dxfId="415">
      <pivotArea dataOnly="0" labelOnly="1" outline="0" fieldPosition="0">
        <references count="2">
          <reference field="4" count="4">
            <x v="6"/>
            <x v="7"/>
            <x v="8"/>
            <x v="9"/>
          </reference>
          <reference field="60" count="1" selected="0">
            <x v="1"/>
          </reference>
        </references>
      </pivotArea>
    </format>
    <format dxfId="414">
      <pivotArea dataOnly="0" labelOnly="1" outline="0" fieldPosition="0">
        <references count="2">
          <reference field="4" count="3">
            <x v="11"/>
            <x v="12"/>
            <x v="13"/>
          </reference>
          <reference field="60" count="1" selected="0">
            <x v="3"/>
          </reference>
        </references>
      </pivotArea>
    </format>
    <format dxfId="413">
      <pivotArea dataOnly="0" labelOnly="1" outline="0" fieldPosition="0">
        <references count="2">
          <reference field="4" count="1">
            <x v="15"/>
          </reference>
          <reference field="60" count="1" selected="0">
            <x v="7"/>
          </reference>
        </references>
      </pivotArea>
    </format>
    <format dxfId="412">
      <pivotArea outline="0" fieldPosition="0">
        <references count="4">
          <reference field="4294967294" count="1" selected="0">
            <x v="0"/>
          </reference>
          <reference field="0" count="1" selected="0">
            <x v="0"/>
          </reference>
          <reference field="4" count="1" selected="0">
            <x v="0"/>
          </reference>
          <reference field="60" count="1" selected="0">
            <x v="0"/>
          </reference>
        </references>
      </pivotArea>
    </format>
    <format dxfId="411">
      <pivotArea dataOnly="0" labelOnly="1" outline="0" fieldPosition="0">
        <references count="1">
          <reference field="60" count="1" defaultSubtotal="1">
            <x v="0"/>
          </reference>
        </references>
      </pivotArea>
    </format>
    <format dxfId="410">
      <pivotArea dataOnly="0" labelOnly="1" outline="0" fieldPosition="0">
        <references count="1">
          <reference field="60" count="1" defaultSubtotal="1">
            <x v="1"/>
          </reference>
        </references>
      </pivotArea>
    </format>
    <format dxfId="409">
      <pivotArea dataOnly="0" labelOnly="1" outline="0" fieldPosition="0">
        <references count="1">
          <reference field="60" count="1" defaultSubtotal="1">
            <x v="3"/>
          </reference>
        </references>
      </pivotArea>
    </format>
    <format dxfId="408">
      <pivotArea outline="0" collapsedLevelsAreSubtotals="1" fieldPosition="0">
        <references count="4">
          <reference field="4294967294" count="3" selected="0">
            <x v="6"/>
            <x v="7"/>
            <x v="8"/>
          </reference>
          <reference field="0" count="1" selected="0">
            <x v="0"/>
          </reference>
          <reference field="4" count="1" selected="0">
            <x v="4"/>
          </reference>
          <reference field="60" count="1" selected="0">
            <x v="0"/>
          </reference>
        </references>
      </pivotArea>
    </format>
    <format dxfId="407">
      <pivotArea outline="0" collapsedLevelsAreSubtotals="1" fieldPosition="0">
        <references count="4">
          <reference field="4294967294" count="1" selected="0">
            <x v="8"/>
          </reference>
          <reference field="0" count="1" selected="0">
            <x v="0"/>
          </reference>
          <reference field="4" count="1" selected="0">
            <x v="4"/>
          </reference>
          <reference field="60" count="1" selected="0">
            <x v="0"/>
          </reference>
        </references>
      </pivotArea>
    </format>
    <format dxfId="406">
      <pivotArea outline="0" collapsedLevelsAreSubtotals="1" fieldPosition="0">
        <references count="2">
          <reference field="4294967294" count="1" selected="0">
            <x v="2"/>
          </reference>
          <reference field="0" count="1" selected="0">
            <x v="0"/>
          </reference>
        </references>
      </pivotArea>
    </format>
    <format dxfId="405">
      <pivotArea outline="0" collapsedLevelsAreSubtotals="1" fieldPosition="0">
        <references count="1">
          <reference field="60" count="3" selected="0" defaultSubtotal="1">
            <x v="5"/>
            <x v="6"/>
            <x v="7"/>
          </reference>
        </references>
      </pivotArea>
    </format>
    <format dxfId="404">
      <pivotArea dataOnly="0" labelOnly="1" outline="0" fieldPosition="0">
        <references count="1">
          <reference field="60" count="3">
            <x v="5"/>
            <x v="6"/>
            <x v="7"/>
          </reference>
        </references>
      </pivotArea>
    </format>
    <format dxfId="403">
      <pivotArea dataOnly="0" labelOnly="1" outline="0" fieldPosition="0">
        <references count="1">
          <reference field="60" count="3" defaultSubtotal="1">
            <x v="5"/>
            <x v="6"/>
            <x v="7"/>
          </reference>
        </references>
      </pivotArea>
    </format>
    <format dxfId="402">
      <pivotArea dataOnly="0" labelOnly="1" outline="0" fieldPosition="0">
        <references count="2">
          <reference field="4" count="1">
            <x v="16"/>
          </reference>
          <reference field="60" count="1" selected="0">
            <x v="5"/>
          </reference>
        </references>
      </pivotArea>
    </format>
    <format dxfId="401">
      <pivotArea dataOnly="0" labelOnly="1" outline="0" fieldPosition="0">
        <references count="2">
          <reference field="4" count="1">
            <x v="17"/>
          </reference>
          <reference field="60" count="1" selected="0">
            <x v="6"/>
          </reference>
        </references>
      </pivotArea>
    </format>
    <format dxfId="400">
      <pivotArea outline="0" collapsedLevelsAreSubtotals="1" fieldPosition="0">
        <references count="3">
          <reference field="4294967294" count="1" selected="0">
            <x v="2"/>
          </reference>
          <reference field="0" count="1" selected="0">
            <x v="0"/>
          </reference>
          <reference field="60" count="1" selected="0" defaultSubtotal="1">
            <x v="1"/>
          </reference>
        </references>
      </pivotArea>
    </format>
    <format dxfId="399">
      <pivotArea outline="0" collapsedLevelsAreSubtotals="1" fieldPosition="0">
        <references count="4">
          <reference field="4294967294" count="1" selected="0">
            <x v="2"/>
          </reference>
          <reference field="0" count="1" selected="0">
            <x v="0"/>
          </reference>
          <reference field="4" count="2" selected="0">
            <x v="11"/>
            <x v="12"/>
          </reference>
          <reference field="60" count="1" selected="0">
            <x v="3"/>
          </reference>
        </references>
      </pivotArea>
    </format>
    <format dxfId="398">
      <pivotArea outline="0" collapsedLevelsAreSubtotals="1" fieldPosition="0">
        <references count="4">
          <reference field="4294967294" count="2" selected="0">
            <x v="6"/>
            <x v="7"/>
          </reference>
          <reference field="0" count="1" selected="0">
            <x v="0"/>
          </reference>
          <reference field="4" count="1" selected="0">
            <x v="4"/>
          </reference>
          <reference field="60" count="1" selected="0">
            <x v="0"/>
          </reference>
        </references>
      </pivotArea>
    </format>
    <format dxfId="397">
      <pivotArea outline="0" collapsedLevelsAreSubtotals="1" fieldPosition="0">
        <references count="4">
          <reference field="4294967294" count="10" selected="0">
            <x v="2"/>
            <x v="3"/>
            <x v="4"/>
            <x v="5"/>
            <x v="6"/>
            <x v="7"/>
            <x v="8"/>
            <x v="9"/>
            <x v="10"/>
            <x v="11"/>
          </reference>
          <reference field="0" count="1" selected="0">
            <x v="0"/>
          </reference>
          <reference field="4" count="1" selected="0">
            <x v="11"/>
          </reference>
          <reference field="60" count="1" selected="0">
            <x v="3"/>
          </reference>
        </references>
      </pivotArea>
    </format>
    <format dxfId="396">
      <pivotArea outline="0" collapsedLevelsAreSubtotals="1" fieldPosition="0">
        <references count="4">
          <reference field="4294967294" count="10" selected="0">
            <x v="2"/>
            <x v="3"/>
            <x v="4"/>
            <x v="5"/>
            <x v="6"/>
            <x v="7"/>
            <x v="8"/>
            <x v="9"/>
            <x v="10"/>
            <x v="11"/>
          </reference>
          <reference field="0" count="1" selected="0">
            <x v="0"/>
          </reference>
          <reference field="4" count="1" selected="0">
            <x v="11"/>
          </reference>
          <reference field="60" count="1" selected="0">
            <x v="3"/>
          </reference>
        </references>
      </pivotArea>
    </format>
    <format dxfId="395">
      <pivotArea outline="0" collapsedLevelsAreSubtotals="1" fieldPosition="0">
        <references count="4">
          <reference field="4294967294" count="1" selected="0">
            <x v="11"/>
          </reference>
          <reference field="0" count="1" selected="0">
            <x v="0"/>
          </reference>
          <reference field="4" count="1" selected="0">
            <x v="11"/>
          </reference>
          <reference field="60" count="1" selected="0">
            <x v="3"/>
          </reference>
        </references>
      </pivotArea>
    </format>
    <format dxfId="394">
      <pivotArea field="0" dataOnly="0" labelOnly="1" grandRow="1" outline="0" axis="axisRow" fieldPosition="0">
        <references count="1">
          <reference field="4294967294" count="1" selected="0">
            <x v="0"/>
          </reference>
        </references>
      </pivotArea>
    </format>
    <format dxfId="393">
      <pivotArea field="0" dataOnly="0" labelOnly="1" grandRow="1" outline="0" axis="axisRow" fieldPosition="0">
        <references count="1">
          <reference field="4294967294" count="1" selected="0">
            <x v="1"/>
          </reference>
        </references>
      </pivotArea>
    </format>
    <format dxfId="392">
      <pivotArea field="0" dataOnly="0" labelOnly="1" grandRow="1" outline="0" axis="axisRow" fieldPosition="0">
        <references count="1">
          <reference field="4294967294" count="1" selected="0">
            <x v="2"/>
          </reference>
        </references>
      </pivotArea>
    </format>
    <format dxfId="391">
      <pivotArea field="0" dataOnly="0" labelOnly="1" grandRow="1" outline="0" axis="axisRow" fieldPosition="0">
        <references count="1">
          <reference field="4294967294" count="1" selected="0">
            <x v="3"/>
          </reference>
        </references>
      </pivotArea>
    </format>
    <format dxfId="390">
      <pivotArea field="0" dataOnly="0" labelOnly="1" grandRow="1" outline="0" axis="axisRow" fieldPosition="0">
        <references count="1">
          <reference field="4294967294" count="1" selected="0">
            <x v="4"/>
          </reference>
        </references>
      </pivotArea>
    </format>
    <format dxfId="389">
      <pivotArea field="0" dataOnly="0" labelOnly="1" grandRow="1" outline="0" axis="axisRow" fieldPosition="0">
        <references count="1">
          <reference field="4294967294" count="1" selected="0">
            <x v="5"/>
          </reference>
        </references>
      </pivotArea>
    </format>
    <format dxfId="388">
      <pivotArea field="0" dataOnly="0" labelOnly="1" grandRow="1" outline="0" axis="axisRow" fieldPosition="0">
        <references count="1">
          <reference field="4294967294" count="1" selected="0">
            <x v="6"/>
          </reference>
        </references>
      </pivotArea>
    </format>
    <format dxfId="387">
      <pivotArea field="0" dataOnly="0" labelOnly="1" grandRow="1" outline="0" axis="axisRow" fieldPosition="0">
        <references count="1">
          <reference field="4294967294" count="1" selected="0">
            <x v="7"/>
          </reference>
        </references>
      </pivotArea>
    </format>
    <format dxfId="386">
      <pivotArea field="0" dataOnly="0" labelOnly="1" grandRow="1" outline="0" axis="axisRow" fieldPosition="0">
        <references count="1">
          <reference field="4294967294" count="1" selected="0">
            <x v="8"/>
          </reference>
        </references>
      </pivotArea>
    </format>
    <format dxfId="385">
      <pivotArea field="0" dataOnly="0" labelOnly="1" grandRow="1" outline="0" axis="axisRow" fieldPosition="0">
        <references count="1">
          <reference field="4294967294" count="1" selected="0">
            <x v="9"/>
          </reference>
        </references>
      </pivotArea>
    </format>
    <format dxfId="384">
      <pivotArea field="0" dataOnly="0" labelOnly="1" grandRow="1" outline="0" axis="axisRow" fieldPosition="0">
        <references count="1">
          <reference field="4294967294" count="1" selected="0">
            <x v="10"/>
          </reference>
        </references>
      </pivotArea>
    </format>
    <format dxfId="383">
      <pivotArea field="0" dataOnly="0" labelOnly="1" grandRow="1" outline="0" axis="axisRow" fieldPosition="0">
        <references count="1">
          <reference field="4294967294" count="1" selected="0">
            <x v="11"/>
          </reference>
        </references>
      </pivotArea>
    </format>
    <format dxfId="382">
      <pivotArea outline="0" collapsedLevelsAreSubtotals="1" fieldPosition="0">
        <references count="4">
          <reference field="4294967294" count="1" selected="0">
            <x v="2"/>
          </reference>
          <reference field="0" count="1" selected="0">
            <x v="0"/>
          </reference>
          <reference field="4" count="1" selected="0">
            <x v="11"/>
          </reference>
          <reference field="60" count="1" selected="0">
            <x v="3"/>
          </reference>
        </references>
      </pivotArea>
    </format>
    <format dxfId="381">
      <pivotArea outline="0" collapsedLevelsAreSubtotals="1" fieldPosition="0">
        <references count="4">
          <reference field="4294967294" count="1" selected="0">
            <x v="2"/>
          </reference>
          <reference field="0" count="1" selected="0">
            <x v="0"/>
          </reference>
          <reference field="4" count="1" selected="0">
            <x v="11"/>
          </reference>
          <reference field="60" count="1" selected="0">
            <x v="3"/>
          </reference>
        </references>
      </pivotArea>
    </format>
    <format dxfId="380">
      <pivotArea outline="0" collapsedLevelsAreSubtotals="1" fieldPosition="0">
        <references count="4">
          <reference field="4294967294" count="1" selected="0">
            <x v="8"/>
          </reference>
          <reference field="0" count="1" selected="0">
            <x v="0"/>
          </reference>
          <reference field="4" count="1" selected="0">
            <x v="3"/>
          </reference>
          <reference field="60" count="1" selected="0">
            <x v="0"/>
          </reference>
        </references>
      </pivotArea>
    </format>
    <format dxfId="379">
      <pivotArea outline="0" collapsedLevelsAreSubtotals="1" fieldPosition="0">
        <references count="4">
          <reference field="4294967294" count="1" selected="0">
            <x v="8"/>
          </reference>
          <reference field="0" count="1" selected="0">
            <x v="0"/>
          </reference>
          <reference field="4" count="1" selected="0">
            <x v="3"/>
          </reference>
          <reference field="60" count="1" selected="0">
            <x v="0"/>
          </reference>
        </references>
      </pivotArea>
    </format>
    <format dxfId="378">
      <pivotArea outline="0" collapsedLevelsAreSubtotals="1" fieldPosition="0">
        <references count="4">
          <reference field="4294967294" count="1" selected="0">
            <x v="8"/>
          </reference>
          <reference field="0" count="1" selected="0">
            <x v="0"/>
          </reference>
          <reference field="4" count="1" selected="0">
            <x v="3"/>
          </reference>
          <reference field="60" count="1" selected="0">
            <x v="0"/>
          </reference>
        </references>
      </pivotArea>
    </format>
    <format dxfId="377">
      <pivotArea outline="0" collapsedLevelsAreSubtotals="1" fieldPosition="0">
        <references count="4">
          <reference field="4294967294" count="1" selected="0">
            <x v="8"/>
          </reference>
          <reference field="0" count="1" selected="0">
            <x v="0"/>
          </reference>
          <reference field="4" count="1" selected="0">
            <x v="4"/>
          </reference>
          <reference field="60" count="1" selected="0">
            <x v="0"/>
          </reference>
        </references>
      </pivotArea>
    </format>
    <format dxfId="376">
      <pivotArea outline="0" collapsedLevelsAreSubtotals="1" fieldPosition="0">
        <references count="4">
          <reference field="4294967294" count="1" selected="0">
            <x v="2"/>
          </reference>
          <reference field="0" count="1" selected="0">
            <x v="0"/>
          </reference>
          <reference field="4" count="1" selected="0">
            <x v="11"/>
          </reference>
          <reference field="60" count="1" selected="0">
            <x v="3"/>
          </reference>
        </references>
      </pivotArea>
    </format>
    <format dxfId="375">
      <pivotArea outline="0" collapsedLevelsAreSubtotals="1" fieldPosition="0">
        <references count="4">
          <reference field="4294967294" count="1" selected="0">
            <x v="2"/>
          </reference>
          <reference field="0" count="1" selected="0">
            <x v="0"/>
          </reference>
          <reference field="4" count="1" selected="0">
            <x v="12"/>
          </reference>
          <reference field="60" count="1" selected="0">
            <x v="3"/>
          </reference>
        </references>
      </pivotArea>
    </format>
    <format dxfId="374">
      <pivotArea outline="0" collapsedLevelsAreSubtotals="1" fieldPosition="0">
        <references count="4">
          <reference field="4294967294" count="1" selected="0">
            <x v="2"/>
          </reference>
          <reference field="0" count="1" selected="0">
            <x v="0"/>
          </reference>
          <reference field="4" count="1" selected="0">
            <x v="8"/>
          </reference>
          <reference field="60" count="1" selected="0">
            <x v="1"/>
          </reference>
        </references>
      </pivotArea>
    </format>
    <format dxfId="373">
      <pivotArea outline="0" collapsedLevelsAreSubtotals="1" fieldPosition="0">
        <references count="4">
          <reference field="4294967294" count="1" selected="0">
            <x v="2"/>
          </reference>
          <reference field="0" count="1" selected="0">
            <x v="1"/>
          </reference>
          <reference field="4" count="1" selected="0">
            <x v="4"/>
          </reference>
          <reference field="60" count="1" selected="0">
            <x v="0"/>
          </reference>
        </references>
      </pivotArea>
    </format>
    <format dxfId="372">
      <pivotArea outline="0" collapsedLevelsAreSubtotals="1" fieldPosition="0">
        <references count="4">
          <reference field="4294967294" count="1" selected="0">
            <x v="2"/>
          </reference>
          <reference field="0" count="1" selected="0">
            <x v="1"/>
          </reference>
          <reference field="4" count="1" selected="0">
            <x v="5"/>
          </reference>
          <reference field="60" count="1" selected="0">
            <x v="0"/>
          </reference>
        </references>
      </pivotArea>
    </format>
    <format dxfId="371">
      <pivotArea outline="0" collapsedLevelsAreSubtotals="1" fieldPosition="0">
        <references count="4">
          <reference field="4294967294" count="1" selected="0">
            <x v="8"/>
          </reference>
          <reference field="0" count="1" selected="0">
            <x v="1"/>
          </reference>
          <reference field="4" count="1" selected="0">
            <x v="2"/>
          </reference>
          <reference field="60" count="1" selected="0">
            <x v="0"/>
          </reference>
        </references>
      </pivotArea>
    </format>
    <format dxfId="370">
      <pivotArea outline="0" collapsedLevelsAreSubtotals="1" fieldPosition="0">
        <references count="4">
          <reference field="4294967294" count="1" selected="0">
            <x v="8"/>
          </reference>
          <reference field="0" count="1" selected="0">
            <x v="2"/>
          </reference>
          <reference field="4" count="1" selected="0">
            <x v="3"/>
          </reference>
          <reference field="60" count="1" selected="0">
            <x v="0"/>
          </reference>
        </references>
      </pivotArea>
    </format>
    <format dxfId="369">
      <pivotArea outline="0" collapsedLevelsAreSubtotals="1" fieldPosition="0">
        <references count="4">
          <reference field="4294967294" count="1" selected="0">
            <x v="2"/>
          </reference>
          <reference field="0" count="1" selected="0">
            <x v="4"/>
          </reference>
          <reference field="4" count="1" selected="0">
            <x v="11"/>
          </reference>
          <reference field="60" count="1" selected="0">
            <x v="3"/>
          </reference>
        </references>
      </pivotArea>
    </format>
    <format dxfId="368">
      <pivotArea outline="0" collapsedLevelsAreSubtotals="1" fieldPosition="0">
        <references count="4">
          <reference field="4294967294" count="1" selected="0">
            <x v="2"/>
          </reference>
          <reference field="0" count="1" selected="0">
            <x v="4"/>
          </reference>
          <reference field="4" count="1" selected="0">
            <x v="12"/>
          </reference>
          <reference field="60" count="1" selected="0">
            <x v="3"/>
          </reference>
        </references>
      </pivotArea>
    </format>
    <format dxfId="367">
      <pivotArea outline="0" collapsedLevelsAreSubtotals="1" fieldPosition="0">
        <references count="4">
          <reference field="4294967294" count="1" selected="0">
            <x v="2"/>
          </reference>
          <reference field="0" count="1" selected="0">
            <x v="6"/>
          </reference>
          <reference field="4" count="1" selected="0">
            <x v="11"/>
          </reference>
          <reference field="60" count="1" selected="0">
            <x v="3"/>
          </reference>
        </references>
      </pivotArea>
    </format>
    <format dxfId="366">
      <pivotArea outline="0" collapsedLevelsAreSubtotals="1" fieldPosition="0">
        <references count="4">
          <reference field="4294967294" count="1" selected="0">
            <x v="8"/>
          </reference>
          <reference field="0" count="1" selected="0">
            <x v="8"/>
          </reference>
          <reference field="4" count="1" selected="0">
            <x v="1"/>
          </reference>
          <reference field="60" count="1" selected="0">
            <x v="0"/>
          </reference>
        </references>
      </pivotArea>
    </format>
    <format dxfId="365">
      <pivotArea outline="0" collapsedLevelsAreSubtotals="1" fieldPosition="0">
        <references count="4">
          <reference field="4294967294" count="1" selected="0">
            <x v="2"/>
          </reference>
          <reference field="0" count="1" selected="0">
            <x v="12"/>
          </reference>
          <reference field="4" count="1" selected="0">
            <x v="8"/>
          </reference>
          <reference field="60" count="1" selected="0">
            <x v="1"/>
          </reference>
        </references>
      </pivotArea>
    </format>
    <format dxfId="364">
      <pivotArea outline="0" collapsedLevelsAreSubtotals="1" fieldPosition="0">
        <references count="4">
          <reference field="4294967294" count="1" selected="0">
            <x v="8"/>
          </reference>
          <reference field="0" count="1" selected="0">
            <x v="15"/>
          </reference>
          <reference field="4" count="1" selected="0">
            <x v="1"/>
          </reference>
          <reference field="60" count="1" selected="0">
            <x v="0"/>
          </reference>
        </references>
      </pivotArea>
    </format>
    <format dxfId="363">
      <pivotArea outline="0" collapsedLevelsAreSubtotals="1" fieldPosition="0">
        <references count="4">
          <reference field="4294967294" count="1" selected="0">
            <x v="2"/>
          </reference>
          <reference field="0" count="1" selected="0">
            <x v="15"/>
          </reference>
          <reference field="4" count="1" selected="0">
            <x v="9"/>
          </reference>
          <reference field="60" count="1" selected="0">
            <x v="1"/>
          </reference>
        </references>
      </pivotArea>
    </format>
    <format dxfId="362">
      <pivotArea field="0" dataOnly="0" labelOnly="1" grandRow="1" outline="0" axis="axisRow" fieldPosition="0">
        <references count="1">
          <reference field="4294967294" count="1" selected="0">
            <x v="0"/>
          </reference>
        </references>
      </pivotArea>
    </format>
    <format dxfId="361">
      <pivotArea field="0" dataOnly="0" labelOnly="1" grandRow="1" outline="0" axis="axisRow" fieldPosition="0">
        <references count="1">
          <reference field="4294967294" count="1" selected="0">
            <x v="1"/>
          </reference>
        </references>
      </pivotArea>
    </format>
    <format dxfId="360">
      <pivotArea field="0" dataOnly="0" labelOnly="1" grandRow="1" outline="0" axis="axisRow" fieldPosition="0">
        <references count="1">
          <reference field="4294967294" count="1" selected="0">
            <x v="2"/>
          </reference>
        </references>
      </pivotArea>
    </format>
    <format dxfId="359">
      <pivotArea field="0" dataOnly="0" labelOnly="1" grandRow="1" outline="0" axis="axisRow" fieldPosition="0">
        <references count="1">
          <reference field="4294967294" count="1" selected="0">
            <x v="3"/>
          </reference>
        </references>
      </pivotArea>
    </format>
    <format dxfId="358">
      <pivotArea field="0" dataOnly="0" labelOnly="1" grandRow="1" outline="0" axis="axisRow" fieldPosition="0">
        <references count="1">
          <reference field="4294967294" count="1" selected="0">
            <x v="4"/>
          </reference>
        </references>
      </pivotArea>
    </format>
    <format dxfId="357">
      <pivotArea field="0" dataOnly="0" labelOnly="1" grandRow="1" outline="0" axis="axisRow" fieldPosition="0">
        <references count="1">
          <reference field="4294967294" count="1" selected="0">
            <x v="5"/>
          </reference>
        </references>
      </pivotArea>
    </format>
    <format dxfId="356">
      <pivotArea field="0" dataOnly="0" labelOnly="1" grandRow="1" outline="0" axis="axisRow" fieldPosition="0">
        <references count="1">
          <reference field="4294967294" count="1" selected="0">
            <x v="6"/>
          </reference>
        </references>
      </pivotArea>
    </format>
    <format dxfId="355">
      <pivotArea field="0" dataOnly="0" labelOnly="1" grandRow="1" outline="0" axis="axisRow" fieldPosition="0">
        <references count="1">
          <reference field="4294967294" count="1" selected="0">
            <x v="7"/>
          </reference>
        </references>
      </pivotArea>
    </format>
    <format dxfId="354">
      <pivotArea field="0" dataOnly="0" labelOnly="1" grandRow="1" outline="0" axis="axisRow" fieldPosition="0">
        <references count="1">
          <reference field="4294967294" count="1" selected="0">
            <x v="8"/>
          </reference>
        </references>
      </pivotArea>
    </format>
    <format dxfId="353">
      <pivotArea field="0" dataOnly="0" labelOnly="1" grandRow="1" outline="0" axis="axisRow" fieldPosition="0">
        <references count="1">
          <reference field="4294967294" count="1" selected="0">
            <x v="9"/>
          </reference>
        </references>
      </pivotArea>
    </format>
    <format dxfId="352">
      <pivotArea field="0" dataOnly="0" labelOnly="1" grandRow="1" outline="0" axis="axisRow" fieldPosition="0">
        <references count="1">
          <reference field="4294967294" count="1" selected="0">
            <x v="10"/>
          </reference>
        </references>
      </pivotArea>
    </format>
    <format dxfId="351">
      <pivotArea field="0" dataOnly="0" labelOnly="1" grandRow="1" outline="0" axis="axisRow" fieldPosition="0">
        <references count="1">
          <reference field="4294967294" count="1" selected="0">
            <x v="11"/>
          </reference>
        </references>
      </pivotArea>
    </format>
    <format dxfId="350">
      <pivotArea outline="0" collapsedLevelsAreSubtotals="1" fieldPosition="0">
        <references count="3">
          <reference field="4294967294" count="3" selected="0">
            <x v="0"/>
            <x v="1"/>
            <x v="2"/>
          </reference>
          <reference field="0" count="1" selected="0">
            <x v="0"/>
          </reference>
          <reference field="60" count="1" selected="0" defaultSubtotal="1">
            <x v="8"/>
          </reference>
        </references>
      </pivotArea>
    </format>
    <format dxfId="349">
      <pivotArea dataOnly="0" labelOnly="1" outline="0" fieldPosition="0">
        <references count="1">
          <reference field="60" count="1">
            <x v="8"/>
          </reference>
        </references>
      </pivotArea>
    </format>
    <format dxfId="348">
      <pivotArea dataOnly="0" labelOnly="1" outline="0" fieldPosition="0">
        <references count="1">
          <reference field="60" count="1" defaultSubtotal="1">
            <x v="8"/>
          </reference>
        </references>
      </pivotArea>
    </format>
    <format dxfId="347">
      <pivotArea dataOnly="0" labelOnly="1" outline="0" fieldPosition="0">
        <references count="2">
          <reference field="4" count="1">
            <x v="18"/>
          </reference>
          <reference field="60" count="1" selected="0">
            <x v="8"/>
          </reference>
        </references>
      </pivotArea>
    </format>
    <format dxfId="346">
      <pivotArea field="0" dataOnly="0" labelOnly="1" grandRow="1" outline="0" offset="IV256" axis="axisRow" fieldPosition="0">
        <references count="1">
          <reference field="4294967294" count="1" selected="0">
            <x v="0"/>
          </reference>
        </references>
      </pivotArea>
    </format>
    <format dxfId="345">
      <pivotArea field="0" dataOnly="0" labelOnly="1" grandRow="1" outline="0" offset="IV256" axis="axisRow" fieldPosition="0">
        <references count="1">
          <reference field="4294967294" count="1" selected="0">
            <x v="1"/>
          </reference>
        </references>
      </pivotArea>
    </format>
    <format dxfId="344">
      <pivotArea field="0" dataOnly="0" labelOnly="1" grandRow="1" outline="0" offset="IV256" axis="axisRow" fieldPosition="0">
        <references count="1">
          <reference field="4294967294" count="1" selected="0">
            <x v="2"/>
          </reference>
        </references>
      </pivotArea>
    </format>
    <format dxfId="343">
      <pivotArea field="0" dataOnly="0" labelOnly="1" grandRow="1" outline="0" offset="IV256" axis="axisRow" fieldPosition="0">
        <references count="1">
          <reference field="4294967294" count="1" selected="0">
            <x v="3"/>
          </reference>
        </references>
      </pivotArea>
    </format>
    <format dxfId="342">
      <pivotArea field="0" dataOnly="0" labelOnly="1" grandRow="1" outline="0" offset="IV256" axis="axisRow" fieldPosition="0">
        <references count="1">
          <reference field="4294967294" count="1" selected="0">
            <x v="4"/>
          </reference>
        </references>
      </pivotArea>
    </format>
    <format dxfId="341">
      <pivotArea field="0" dataOnly="0" labelOnly="1" grandRow="1" outline="0" offset="IV256" axis="axisRow" fieldPosition="0">
        <references count="1">
          <reference field="4294967294" count="1" selected="0">
            <x v="5"/>
          </reference>
        </references>
      </pivotArea>
    </format>
    <format dxfId="340">
      <pivotArea field="0" dataOnly="0" labelOnly="1" grandRow="1" outline="0" offset="IV256" axis="axisRow" fieldPosition="0">
        <references count="1">
          <reference field="4294967294" count="1" selected="0">
            <x v="6"/>
          </reference>
        </references>
      </pivotArea>
    </format>
    <format dxfId="339">
      <pivotArea field="0" dataOnly="0" labelOnly="1" grandRow="1" outline="0" offset="IV256" axis="axisRow" fieldPosition="0">
        <references count="1">
          <reference field="4294967294" count="1" selected="0">
            <x v="7"/>
          </reference>
        </references>
      </pivotArea>
    </format>
    <format dxfId="338">
      <pivotArea field="0" dataOnly="0" labelOnly="1" grandRow="1" outline="0" offset="IV256" axis="axisRow" fieldPosition="0">
        <references count="1">
          <reference field="4294967294" count="1" selected="0">
            <x v="8"/>
          </reference>
        </references>
      </pivotArea>
    </format>
    <format dxfId="337">
      <pivotArea field="0" dataOnly="0" labelOnly="1" grandRow="1" outline="0" offset="IV256" axis="axisRow" fieldPosition="0">
        <references count="1">
          <reference field="4294967294" count="1" selected="0">
            <x v="9"/>
          </reference>
        </references>
      </pivotArea>
    </format>
    <format dxfId="336">
      <pivotArea field="0" dataOnly="0" labelOnly="1" grandRow="1" outline="0" offset="IV256" axis="axisRow" fieldPosition="0">
        <references count="1">
          <reference field="4294967294" count="1" selected="0">
            <x v="10"/>
          </reference>
        </references>
      </pivotArea>
    </format>
    <format dxfId="335">
      <pivotArea field="0" dataOnly="0" labelOnly="1" grandRow="1" outline="0" offset="IV256" axis="axisRow" fieldPosition="0">
        <references count="1">
          <reference field="4294967294" count="1" selected="0">
            <x v="11"/>
          </reference>
        </references>
      </pivotArea>
    </format>
    <format dxfId="334">
      <pivotArea outline="0" collapsedLevelsAreSubtotals="1" fieldPosition="0">
        <references count="1">
          <reference field="60" count="3" selected="0" defaultSubtotal="1">
            <x v="0"/>
            <x v="1"/>
            <x v="3"/>
          </reference>
        </references>
      </pivotArea>
    </format>
    <format dxfId="333">
      <pivotArea field="60" type="button" dataOnly="0" labelOnly="1" outline="0" axis="axisCol" fieldPosition="0"/>
    </format>
    <format dxfId="332">
      <pivotArea field="4" type="button" dataOnly="0" labelOnly="1" outline="0" axis="axisCol" fieldPosition="1"/>
    </format>
    <format dxfId="331">
      <pivotArea type="topRight" dataOnly="0" labelOnly="1" outline="0" fieldPosition="0"/>
    </format>
    <format dxfId="330">
      <pivotArea dataOnly="0" labelOnly="1" outline="0" fieldPosition="0">
        <references count="1">
          <reference field="60" count="3">
            <x v="0"/>
            <x v="1"/>
            <x v="3"/>
          </reference>
        </references>
      </pivotArea>
    </format>
    <format dxfId="329">
      <pivotArea dataOnly="0" labelOnly="1" outline="0" fieldPosition="0">
        <references count="1">
          <reference field="60" count="3" defaultSubtotal="1">
            <x v="0"/>
            <x v="1"/>
            <x v="3"/>
          </reference>
        </references>
      </pivotArea>
    </format>
    <format dxfId="328">
      <pivotArea dataOnly="0" labelOnly="1" outline="0" fieldPosition="0">
        <references count="2">
          <reference field="4" count="6">
            <x v="0"/>
            <x v="1"/>
            <x v="2"/>
            <x v="3"/>
            <x v="4"/>
            <x v="5"/>
          </reference>
          <reference field="60" count="1" selected="0">
            <x v="0"/>
          </reference>
        </references>
      </pivotArea>
    </format>
    <format dxfId="327">
      <pivotArea dataOnly="0" labelOnly="1" outline="0" fieldPosition="0">
        <references count="2">
          <reference field="4" count="4">
            <x v="6"/>
            <x v="7"/>
            <x v="8"/>
            <x v="9"/>
          </reference>
          <reference field="60" count="1" selected="0">
            <x v="1"/>
          </reference>
        </references>
      </pivotArea>
    </format>
    <format dxfId="326">
      <pivotArea dataOnly="0" labelOnly="1" outline="0" fieldPosition="0">
        <references count="2">
          <reference field="4" count="2">
            <x v="11"/>
            <x v="12"/>
          </reference>
          <reference field="60" count="1" selected="0">
            <x v="3"/>
          </reference>
        </references>
      </pivotArea>
    </format>
    <format dxfId="325">
      <pivotArea type="topRight" dataOnly="0" labelOnly="1" outline="0" offset="N1" fieldPosition="0"/>
    </format>
    <format dxfId="324">
      <pivotArea outline="0" collapsedLevelsAreSubtotals="1" fieldPosition="0">
        <references count="3">
          <reference field="4294967294" count="12" selected="0">
            <x v="0"/>
            <x v="1"/>
            <x v="2"/>
            <x v="3"/>
            <x v="4"/>
            <x v="5"/>
            <x v="6"/>
            <x v="7"/>
            <x v="8"/>
            <x v="9"/>
            <x v="10"/>
            <x v="11"/>
          </reference>
          <reference field="0" count="1" selected="0">
            <x v="0"/>
          </reference>
          <reference field="60" count="4" selected="0" defaultSubtotal="1">
            <x v="5"/>
            <x v="6"/>
            <x v="7"/>
            <x v="8"/>
          </reference>
        </references>
      </pivotArea>
    </format>
    <format dxfId="323">
      <pivotArea type="topRight" dataOnly="0" labelOnly="1" outline="0" offset="O1:W1" fieldPosition="0"/>
    </format>
    <format dxfId="322">
      <pivotArea outline="0" collapsedLevelsAreSubtotals="1" fieldPosition="0">
        <references count="3">
          <reference field="4294967294" count="12" selected="0">
            <x v="0"/>
            <x v="1"/>
            <x v="2"/>
            <x v="3"/>
            <x v="4"/>
            <x v="5"/>
            <x v="6"/>
            <x v="7"/>
            <x v="8"/>
            <x v="9"/>
            <x v="10"/>
            <x v="11"/>
          </reference>
          <reference field="0" count="1" selected="0">
            <x v="0"/>
          </reference>
          <reference field="60" count="3" selected="0" defaultSubtotal="1">
            <x v="0"/>
            <x v="1"/>
            <x v="3"/>
          </reference>
        </references>
      </pivotArea>
    </format>
    <format dxfId="321">
      <pivotArea outline="0" collapsedLevelsAreSubtotals="1" fieldPosition="0">
        <references count="4">
          <reference field="4294967294" count="1" selected="0">
            <x v="2"/>
          </reference>
          <reference field="0" count="1" selected="0">
            <x v="0"/>
          </reference>
          <reference field="4" count="1" selected="0">
            <x v="11"/>
          </reference>
          <reference field="60" count="1" selected="0">
            <x v="3"/>
          </reference>
        </references>
      </pivotArea>
    </format>
    <format dxfId="320">
      <pivotArea outline="0" collapsedLevelsAreSubtotals="1" fieldPosition="0">
        <references count="4">
          <reference field="4294967294" count="1" selected="0">
            <x v="5"/>
          </reference>
          <reference field="0" count="1" selected="0">
            <x v="0"/>
          </reference>
          <reference field="4" count="1" selected="0">
            <x v="0"/>
          </reference>
          <reference field="60" count="1" selected="0">
            <x v="0"/>
          </reference>
        </references>
      </pivotArea>
    </format>
    <format dxfId="319">
      <pivotArea outline="0" collapsedLevelsAreSubtotals="1" fieldPosition="0">
        <references count="4">
          <reference field="4294967294" count="1" selected="0">
            <x v="8"/>
          </reference>
          <reference field="0" count="1" selected="0">
            <x v="0"/>
          </reference>
          <reference field="4" count="1" selected="0">
            <x v="0"/>
          </reference>
          <reference field="60" count="1" selected="0">
            <x v="0"/>
          </reference>
        </references>
      </pivotArea>
    </format>
    <format dxfId="318">
      <pivotArea outline="0" collapsedLevelsAreSubtotals="1" fieldPosition="0">
        <references count="4">
          <reference field="4294967294" count="1" selected="0">
            <x v="11"/>
          </reference>
          <reference field="0" count="1" selected="0">
            <x v="0"/>
          </reference>
          <reference field="4" count="1" selected="0">
            <x v="0"/>
          </reference>
          <reference field="60" count="1" selected="0">
            <x v="0"/>
          </reference>
        </references>
      </pivotArea>
    </format>
    <format dxfId="317">
      <pivotArea dataOnly="0" labelOnly="1" outline="0" fieldPosition="0">
        <references count="1">
          <reference field="0" count="1">
            <x v="5"/>
          </reference>
        </references>
      </pivotArea>
    </format>
    <format dxfId="316">
      <pivotArea outline="0" collapsedLevelsAreSubtotals="1" fieldPosition="0">
        <references count="4">
          <reference field="4294967294" count="1" selected="0">
            <x v="0"/>
          </reference>
          <reference field="0" count="1" selected="0">
            <x v="1"/>
          </reference>
          <reference field="4" count="1" selected="0">
            <x v="16"/>
          </reference>
          <reference field="60" count="1" selected="0">
            <x v="5"/>
          </reference>
        </references>
      </pivotArea>
    </format>
    <format dxfId="315">
      <pivotArea outline="0" collapsedLevelsAreSubtotals="1" fieldPosition="0">
        <references count="4">
          <reference field="4294967294" count="1" selected="0">
            <x v="0"/>
          </reference>
          <reference field="0" count="1" selected="0">
            <x v="2"/>
          </reference>
          <reference field="4" count="1" selected="0">
            <x v="16"/>
          </reference>
          <reference field="60" count="1" selected="0">
            <x v="5"/>
          </reference>
        </references>
      </pivotArea>
    </format>
    <format dxfId="314">
      <pivotArea outline="0" collapsedLevelsAreSubtotals="1" fieldPosition="0">
        <references count="4">
          <reference field="4294967294" count="1" selected="0">
            <x v="0"/>
          </reference>
          <reference field="0" count="1" selected="0">
            <x v="3"/>
          </reference>
          <reference field="4" count="1" selected="0">
            <x v="16"/>
          </reference>
          <reference field="60" count="1" selected="0">
            <x v="5"/>
          </reference>
        </references>
      </pivotArea>
    </format>
    <format dxfId="313">
      <pivotArea outline="0" collapsedLevelsAreSubtotals="1" fieldPosition="0">
        <references count="4">
          <reference field="4294967294" count="1" selected="0">
            <x v="0"/>
          </reference>
          <reference field="0" count="1" selected="0">
            <x v="4"/>
          </reference>
          <reference field="4" count="1" selected="0">
            <x v="16"/>
          </reference>
          <reference field="60" count="1" selected="0">
            <x v="5"/>
          </reference>
        </references>
      </pivotArea>
    </format>
    <format dxfId="312">
      <pivotArea outline="0" collapsedLevelsAreSubtotals="1" fieldPosition="0">
        <references count="4">
          <reference field="4294967294" count="1" selected="0">
            <x v="0"/>
          </reference>
          <reference field="0" count="1" selected="0">
            <x v="5"/>
          </reference>
          <reference field="4" count="1" selected="0">
            <x v="16"/>
          </reference>
          <reference field="60" count="1" selected="0">
            <x v="5"/>
          </reference>
        </references>
      </pivotArea>
    </format>
    <format dxfId="311">
      <pivotArea outline="0" collapsedLevelsAreSubtotals="1" fieldPosition="0">
        <references count="4">
          <reference field="4294967294" count="1" selected="0">
            <x v="0"/>
          </reference>
          <reference field="0" count="1" selected="0">
            <x v="6"/>
          </reference>
          <reference field="4" count="1" selected="0">
            <x v="16"/>
          </reference>
          <reference field="60" count="1" selected="0">
            <x v="5"/>
          </reference>
        </references>
      </pivotArea>
    </format>
    <format dxfId="310">
      <pivotArea outline="0" collapsedLevelsAreSubtotals="1" fieldPosition="0">
        <references count="4">
          <reference field="4294967294" count="1" selected="0">
            <x v="0"/>
          </reference>
          <reference field="0" count="1" selected="0">
            <x v="7"/>
          </reference>
          <reference field="4" count="1" selected="0">
            <x v="16"/>
          </reference>
          <reference field="60" count="1" selected="0">
            <x v="5"/>
          </reference>
        </references>
      </pivotArea>
    </format>
    <format dxfId="309">
      <pivotArea outline="0" collapsedLevelsAreSubtotals="1" fieldPosition="0">
        <references count="4">
          <reference field="4294967294" count="1" selected="0">
            <x v="0"/>
          </reference>
          <reference field="0" count="1" selected="0">
            <x v="8"/>
          </reference>
          <reference field="4" count="1" selected="0">
            <x v="16"/>
          </reference>
          <reference field="60" count="1" selected="0">
            <x v="5"/>
          </reference>
        </references>
      </pivotArea>
    </format>
    <format dxfId="308">
      <pivotArea outline="0" collapsedLevelsAreSubtotals="1" fieldPosition="0">
        <references count="4">
          <reference field="4294967294" count="1" selected="0">
            <x v="0"/>
          </reference>
          <reference field="0" count="1" selected="0">
            <x v="9"/>
          </reference>
          <reference field="4" count="1" selected="0">
            <x v="16"/>
          </reference>
          <reference field="60" count="1" selected="0">
            <x v="5"/>
          </reference>
        </references>
      </pivotArea>
    </format>
    <format dxfId="307">
      <pivotArea outline="0" collapsedLevelsAreSubtotals="1" fieldPosition="0">
        <references count="4">
          <reference field="4294967294" count="1" selected="0">
            <x v="0"/>
          </reference>
          <reference field="0" count="1" selected="0">
            <x v="10"/>
          </reference>
          <reference field="4" count="1" selected="0">
            <x v="16"/>
          </reference>
          <reference field="60" count="1" selected="0">
            <x v="5"/>
          </reference>
        </references>
      </pivotArea>
    </format>
    <format dxfId="306">
      <pivotArea outline="0" collapsedLevelsAreSubtotals="1" fieldPosition="0">
        <references count="4">
          <reference field="4294967294" count="1" selected="0">
            <x v="0"/>
          </reference>
          <reference field="0" count="1" selected="0">
            <x v="11"/>
          </reference>
          <reference field="4" count="1" selected="0">
            <x v="16"/>
          </reference>
          <reference field="60" count="1" selected="0">
            <x v="5"/>
          </reference>
        </references>
      </pivotArea>
    </format>
    <format dxfId="305">
      <pivotArea outline="0" collapsedLevelsAreSubtotals="1" fieldPosition="0">
        <references count="4">
          <reference field="4294967294" count="1" selected="0">
            <x v="0"/>
          </reference>
          <reference field="0" count="1" selected="0">
            <x v="12"/>
          </reference>
          <reference field="4" count="1" selected="0">
            <x v="16"/>
          </reference>
          <reference field="60" count="1" selected="0">
            <x v="5"/>
          </reference>
        </references>
      </pivotArea>
    </format>
    <format dxfId="304">
      <pivotArea outline="0" collapsedLevelsAreSubtotals="1" fieldPosition="0">
        <references count="4">
          <reference field="4294967294" count="1" selected="0">
            <x v="0"/>
          </reference>
          <reference field="0" count="1" selected="0">
            <x v="13"/>
          </reference>
          <reference field="4" count="1" selected="0">
            <x v="16"/>
          </reference>
          <reference field="60" count="1" selected="0">
            <x v="5"/>
          </reference>
        </references>
      </pivotArea>
    </format>
    <format dxfId="303">
      <pivotArea outline="0" collapsedLevelsAreSubtotals="1" fieldPosition="0">
        <references count="4">
          <reference field="4294967294" count="1" selected="0">
            <x v="0"/>
          </reference>
          <reference field="0" count="1" selected="0">
            <x v="14"/>
          </reference>
          <reference field="4" count="1" selected="0">
            <x v="16"/>
          </reference>
          <reference field="60" count="1" selected="0">
            <x v="5"/>
          </reference>
        </references>
      </pivotArea>
    </format>
    <format dxfId="302">
      <pivotArea outline="0" collapsedLevelsAreSubtotals="1" fieldPosition="0">
        <references count="4">
          <reference field="4294967294" count="1" selected="0">
            <x v="0"/>
          </reference>
          <reference field="0" count="1" selected="0">
            <x v="15"/>
          </reference>
          <reference field="4" count="1" selected="0">
            <x v="16"/>
          </reference>
          <reference field="60" count="1" selected="0">
            <x v="5"/>
          </reference>
        </references>
      </pivotArea>
    </format>
    <format dxfId="301">
      <pivotArea outline="0" collapsedLevelsAreSubtotals="1" fieldPosition="0">
        <references count="4">
          <reference field="4294967294" count="1" selected="0">
            <x v="0"/>
          </reference>
          <reference field="0" count="1" selected="0">
            <x v="16"/>
          </reference>
          <reference field="4" count="1" selected="0">
            <x v="16"/>
          </reference>
          <reference field="60" count="1" selected="0">
            <x v="5"/>
          </reference>
        </references>
      </pivotArea>
    </format>
    <format dxfId="300">
      <pivotArea field="60" grandRow="1" outline="0" collapsedLevelsAreSubtotals="1" axis="axisCol" fieldPosition="0">
        <references count="3">
          <reference field="4294967294" count="1" selected="0">
            <x v="0"/>
          </reference>
          <reference field="4" count="1" selected="0">
            <x v="16"/>
          </reference>
          <reference field="60" count="1" selected="0">
            <x v="5"/>
          </reference>
        </references>
      </pivotArea>
    </format>
    <format dxfId="299">
      <pivotArea field="0" grandRow="1" outline="0" collapsedLevelsAreSubtotals="1" axis="axisRow" fieldPosition="0">
        <references count="1">
          <reference field="4294967294" count="1" selected="0">
            <x v="11"/>
          </reference>
        </references>
      </pivotArea>
    </format>
    <format dxfId="298">
      <pivotArea outline="0" collapsedLevelsAreSubtotals="1" fieldPosition="0">
        <references count="4">
          <reference field="4294967294" count="1" selected="0">
            <x v="2"/>
          </reference>
          <reference field="0" count="1" selected="0">
            <x v="0"/>
          </reference>
          <reference field="4" count="1" selected="0">
            <x v="1"/>
          </reference>
          <reference field="60" count="1" selected="0">
            <x v="0"/>
          </reference>
        </references>
      </pivotArea>
    </format>
    <format dxfId="297">
      <pivotArea outline="0" collapsedLevelsAreSubtotals="1" fieldPosition="0">
        <references count="4">
          <reference field="4294967294" count="1" selected="0">
            <x v="2"/>
          </reference>
          <reference field="0" count="1" selected="0">
            <x v="0"/>
          </reference>
          <reference field="4" count="1" selected="0">
            <x v="3"/>
          </reference>
          <reference field="60" count="1" selected="0">
            <x v="0"/>
          </reference>
        </references>
      </pivotArea>
    </format>
    <format dxfId="296">
      <pivotArea outline="0" collapsedLevelsAreSubtotals="1" fieldPosition="0">
        <references count="4">
          <reference field="4294967294" count="1" selected="0">
            <x v="2"/>
          </reference>
          <reference field="0" count="1" selected="0">
            <x v="0"/>
          </reference>
          <reference field="4" count="1" selected="0">
            <x v="5"/>
          </reference>
          <reference field="60" count="1" selected="0">
            <x v="0"/>
          </reference>
        </references>
      </pivotArea>
    </format>
    <format dxfId="295">
      <pivotArea outline="0" collapsedLevelsAreSubtotals="1" fieldPosition="0">
        <references count="4">
          <reference field="4294967294" count="1" selected="0">
            <x v="2"/>
          </reference>
          <reference field="0" count="1" selected="0">
            <x v="0"/>
          </reference>
          <reference field="4" count="3" selected="0">
            <x v="7"/>
            <x v="8"/>
            <x v="9"/>
          </reference>
          <reference field="60" count="1" selected="0">
            <x v="1"/>
          </reference>
        </references>
      </pivotArea>
    </format>
    <format dxfId="294">
      <pivotArea outline="0" collapsedLevelsAreSubtotals="1" fieldPosition="0">
        <references count="4">
          <reference field="4294967294" count="1" selected="0">
            <x v="8"/>
          </reference>
          <reference field="0" count="1" selected="0">
            <x v="0"/>
          </reference>
          <reference field="4" count="1" selected="0">
            <x v="3"/>
          </reference>
          <reference field="60" count="1" selected="0">
            <x v="0"/>
          </reference>
        </references>
      </pivotArea>
    </format>
    <format dxfId="293">
      <pivotArea outline="0" collapsedLevelsAreSubtotals="1" fieldPosition="0">
        <references count="4">
          <reference field="4294967294" count="1" selected="0">
            <x v="2"/>
          </reference>
          <reference field="0" count="1" selected="0">
            <x v="0"/>
          </reference>
          <reference field="4" count="2" selected="0">
            <x v="11"/>
            <x v="12"/>
          </reference>
          <reference field="60" count="1" selected="0">
            <x v="3"/>
          </reference>
        </references>
      </pivotArea>
    </format>
    <format dxfId="292">
      <pivotArea outline="0" collapsedLevelsAreSubtotals="1" fieldPosition="0">
        <references count="4">
          <reference field="4294967294" count="1" selected="0">
            <x v="2"/>
          </reference>
          <reference field="0" count="1" selected="0">
            <x v="1"/>
          </reference>
          <reference field="4" count="1" selected="0">
            <x v="5"/>
          </reference>
          <reference field="60" count="1" selected="0">
            <x v="0"/>
          </reference>
        </references>
      </pivotArea>
    </format>
    <format dxfId="291">
      <pivotArea outline="0" collapsedLevelsAreSubtotals="1" fieldPosition="0">
        <references count="4">
          <reference field="4294967294" count="1" selected="0">
            <x v="2"/>
          </reference>
          <reference field="0" count="1" selected="0">
            <x v="1"/>
          </reference>
          <reference field="4" count="1" selected="0">
            <x v="0"/>
          </reference>
          <reference field="60" count="1" selected="0">
            <x v="0"/>
          </reference>
        </references>
      </pivotArea>
    </format>
    <format dxfId="290">
      <pivotArea outline="0" collapsedLevelsAreSubtotals="1" fieldPosition="0">
        <references count="4">
          <reference field="4294967294" count="1" selected="0">
            <x v="2"/>
          </reference>
          <reference field="0" count="1" selected="0">
            <x v="1"/>
          </reference>
          <reference field="4" count="2" selected="0">
            <x v="8"/>
            <x v="9"/>
          </reference>
          <reference field="60" count="1" selected="0">
            <x v="1"/>
          </reference>
        </references>
      </pivotArea>
    </format>
    <format dxfId="289">
      <pivotArea outline="0" collapsedLevelsAreSubtotals="1" fieldPosition="0">
        <references count="4">
          <reference field="4294967294" count="1" selected="0">
            <x v="8"/>
          </reference>
          <reference field="0" count="1" selected="0">
            <x v="1"/>
          </reference>
          <reference field="4" count="1" selected="0">
            <x v="2"/>
          </reference>
          <reference field="60" count="1" selected="0">
            <x v="0"/>
          </reference>
        </references>
      </pivotArea>
    </format>
    <format dxfId="288">
      <pivotArea outline="0" collapsedLevelsAreSubtotals="1" fieldPosition="0">
        <references count="4">
          <reference field="4294967294" count="1" selected="0">
            <x v="2"/>
          </reference>
          <reference field="0" count="1" selected="0">
            <x v="2"/>
          </reference>
          <reference field="4" count="2" selected="0">
            <x v="7"/>
            <x v="8"/>
          </reference>
          <reference field="60" count="1" selected="0">
            <x v="1"/>
          </reference>
        </references>
      </pivotArea>
    </format>
    <format dxfId="287">
      <pivotArea outline="0" collapsedLevelsAreSubtotals="1" fieldPosition="0">
        <references count="4">
          <reference field="4294967294" count="1" selected="0">
            <x v="5"/>
          </reference>
          <reference field="0" count="1" selected="0">
            <x v="3"/>
          </reference>
          <reference field="4" count="1" selected="0">
            <x v="6"/>
          </reference>
          <reference field="60" count="1" selected="0">
            <x v="1"/>
          </reference>
        </references>
      </pivotArea>
    </format>
    <format dxfId="286">
      <pivotArea outline="0" collapsedLevelsAreSubtotals="1" fieldPosition="0">
        <references count="4">
          <reference field="4294967294" count="1" selected="0">
            <x v="5"/>
          </reference>
          <reference field="0" count="1" selected="0">
            <x v="3"/>
          </reference>
          <reference field="4" count="4" selected="0">
            <x v="6"/>
            <x v="7"/>
            <x v="8"/>
            <x v="9"/>
          </reference>
          <reference field="60" count="1" selected="0">
            <x v="1"/>
          </reference>
        </references>
      </pivotArea>
    </format>
    <format dxfId="285">
      <pivotArea outline="0" collapsedLevelsAreSubtotals="1" fieldPosition="0">
        <references count="4">
          <reference field="4294967294" count="1" selected="0">
            <x v="5"/>
          </reference>
          <reference field="0" count="1" selected="0">
            <x v="3"/>
          </reference>
          <reference field="4" count="1" selected="0">
            <x v="9"/>
          </reference>
          <reference field="60" count="1" selected="0">
            <x v="1"/>
          </reference>
        </references>
      </pivotArea>
    </format>
    <format dxfId="284">
      <pivotArea outline="0" collapsedLevelsAreSubtotals="1" fieldPosition="0">
        <references count="4">
          <reference field="4294967294" count="1" selected="0">
            <x v="8"/>
          </reference>
          <reference field="0" count="1" selected="0">
            <x v="3"/>
          </reference>
          <reference field="4" count="1" selected="0">
            <x v="1"/>
          </reference>
          <reference field="60" count="1" selected="0">
            <x v="0"/>
          </reference>
        </references>
      </pivotArea>
    </format>
    <format dxfId="283">
      <pivotArea outline="0" collapsedLevelsAreSubtotals="1" fieldPosition="0">
        <references count="4">
          <reference field="4294967294" count="1" selected="0">
            <x v="2"/>
          </reference>
          <reference field="0" count="1" selected="0">
            <x v="4"/>
          </reference>
          <reference field="4" count="1" selected="0">
            <x v="5"/>
          </reference>
          <reference field="60" count="1" selected="0">
            <x v="0"/>
          </reference>
        </references>
      </pivotArea>
    </format>
    <format dxfId="282">
      <pivotArea outline="0" collapsedLevelsAreSubtotals="1" fieldPosition="0">
        <references count="4">
          <reference field="4294967294" count="1" selected="0">
            <x v="2"/>
          </reference>
          <reference field="0" count="1" selected="0">
            <x v="4"/>
          </reference>
          <reference field="4" count="1" selected="0">
            <x v="6"/>
          </reference>
          <reference field="60" count="1" selected="0">
            <x v="1"/>
          </reference>
        </references>
      </pivotArea>
    </format>
    <format dxfId="281">
      <pivotArea outline="0" collapsedLevelsAreSubtotals="1" fieldPosition="0">
        <references count="4">
          <reference field="4294967294" count="1" selected="0">
            <x v="8"/>
          </reference>
          <reference field="0" count="1" selected="0">
            <x v="4"/>
          </reference>
          <reference field="4" count="1" selected="0">
            <x v="3"/>
          </reference>
          <reference field="60" count="1" selected="0">
            <x v="0"/>
          </reference>
        </references>
      </pivotArea>
    </format>
    <format dxfId="280">
      <pivotArea outline="0" collapsedLevelsAreSubtotals="1" fieldPosition="0">
        <references count="4">
          <reference field="4294967294" count="1" selected="0">
            <x v="8"/>
          </reference>
          <reference field="0" count="1" selected="0">
            <x v="6"/>
          </reference>
          <reference field="4" count="1" selected="0">
            <x v="2"/>
          </reference>
          <reference field="60" count="1" selected="0">
            <x v="0"/>
          </reference>
        </references>
      </pivotArea>
    </format>
    <format dxfId="279">
      <pivotArea outline="0" collapsedLevelsAreSubtotals="1" fieldPosition="0">
        <references count="4">
          <reference field="4294967294" count="1" selected="0">
            <x v="2"/>
          </reference>
          <reference field="0" count="1" selected="0">
            <x v="7"/>
          </reference>
          <reference field="4" count="1" selected="0">
            <x v="2"/>
          </reference>
          <reference field="60" count="1" selected="0">
            <x v="0"/>
          </reference>
        </references>
      </pivotArea>
    </format>
    <format dxfId="278">
      <pivotArea outline="0" collapsedLevelsAreSubtotals="1" fieldPosition="0">
        <references count="4">
          <reference field="4294967294" count="1" selected="0">
            <x v="2"/>
          </reference>
          <reference field="0" count="1" selected="0">
            <x v="7"/>
          </reference>
          <reference field="4" count="3" selected="0">
            <x v="7"/>
            <x v="8"/>
            <x v="9"/>
          </reference>
          <reference field="60" count="1" selected="0">
            <x v="1"/>
          </reference>
        </references>
      </pivotArea>
    </format>
    <format dxfId="277">
      <pivotArea outline="0" collapsedLevelsAreSubtotals="1" fieldPosition="0">
        <references count="4">
          <reference field="4294967294" count="1" selected="0">
            <x v="2"/>
          </reference>
          <reference field="0" count="1" selected="0">
            <x v="7"/>
          </reference>
          <reference field="4" count="1" selected="0">
            <x v="11"/>
          </reference>
          <reference field="60" count="1" selected="0">
            <x v="3"/>
          </reference>
        </references>
      </pivotArea>
    </format>
    <format dxfId="276">
      <pivotArea outline="0" collapsedLevelsAreSubtotals="1" fieldPosition="0">
        <references count="4">
          <reference field="4294967294" count="1" selected="0">
            <x v="8"/>
          </reference>
          <reference field="0" count="1" selected="0">
            <x v="9"/>
          </reference>
          <reference field="4" count="1" selected="0">
            <x v="3"/>
          </reference>
          <reference field="60" count="1" selected="0">
            <x v="0"/>
          </reference>
        </references>
      </pivotArea>
    </format>
    <format dxfId="275">
      <pivotArea outline="0" collapsedLevelsAreSubtotals="1" fieldPosition="0">
        <references count="4">
          <reference field="4294967294" count="1" selected="0">
            <x v="2"/>
          </reference>
          <reference field="0" count="1" selected="0">
            <x v="9"/>
          </reference>
          <reference field="4" count="3" selected="0">
            <x v="7"/>
            <x v="8"/>
            <x v="9"/>
          </reference>
          <reference field="60" count="1" selected="0">
            <x v="1"/>
          </reference>
        </references>
      </pivotArea>
    </format>
    <format dxfId="274">
      <pivotArea outline="0" collapsedLevelsAreSubtotals="1" fieldPosition="0">
        <references count="4">
          <reference field="4294967294" count="1" selected="0">
            <x v="2"/>
          </reference>
          <reference field="0" count="1" selected="0">
            <x v="10"/>
          </reference>
          <reference field="4" count="1" selected="0">
            <x v="4"/>
          </reference>
          <reference field="60" count="1" selected="0">
            <x v="0"/>
          </reference>
        </references>
      </pivotArea>
    </format>
    <format dxfId="273">
      <pivotArea outline="0" collapsedLevelsAreSubtotals="1" fieldPosition="0">
        <references count="4">
          <reference field="4294967294" count="1" selected="0">
            <x v="2"/>
          </reference>
          <reference field="0" count="1" selected="0">
            <x v="10"/>
          </reference>
          <reference field="4" count="1" selected="0">
            <x v="8"/>
          </reference>
          <reference field="60" count="1" selected="0">
            <x v="1"/>
          </reference>
        </references>
      </pivotArea>
    </format>
    <format dxfId="272">
      <pivotArea outline="0" collapsedLevelsAreSubtotals="1" fieldPosition="0">
        <references count="4">
          <reference field="4294967294" count="1" selected="0">
            <x v="2"/>
          </reference>
          <reference field="0" count="1" selected="0">
            <x v="10"/>
          </reference>
          <reference field="4" count="3" selected="0">
            <x v="7"/>
            <x v="8"/>
            <x v="9"/>
          </reference>
          <reference field="60" count="1" selected="0">
            <x v="1"/>
          </reference>
        </references>
      </pivotArea>
    </format>
    <format dxfId="271">
      <pivotArea outline="0" collapsedLevelsAreSubtotals="1" fieldPosition="0">
        <references count="4">
          <reference field="4294967294" count="1" selected="0">
            <x v="8"/>
          </reference>
          <reference field="0" count="1" selected="0">
            <x v="10"/>
          </reference>
          <reference field="4" count="2" selected="0">
            <x v="1"/>
            <x v="2"/>
          </reference>
          <reference field="60" count="1" selected="0">
            <x v="0"/>
          </reference>
        </references>
      </pivotArea>
    </format>
    <format dxfId="270">
      <pivotArea outline="0" collapsedLevelsAreSubtotals="1" fieldPosition="0">
        <references count="4">
          <reference field="4294967294" count="1" selected="0">
            <x v="2"/>
          </reference>
          <reference field="0" count="1" selected="0">
            <x v="11"/>
          </reference>
          <reference field="4" count="1" selected="0">
            <x v="8"/>
          </reference>
          <reference field="60" count="1" selected="0">
            <x v="1"/>
          </reference>
        </references>
      </pivotArea>
    </format>
    <format dxfId="269">
      <pivotArea outline="0" collapsedLevelsAreSubtotals="1" fieldPosition="0">
        <references count="4">
          <reference field="4294967294" count="1" selected="0">
            <x v="5"/>
          </reference>
          <reference field="0" count="1" selected="0">
            <x v="11"/>
          </reference>
          <reference field="4" count="1" selected="0">
            <x v="11"/>
          </reference>
          <reference field="60" count="1" selected="0">
            <x v="3"/>
          </reference>
        </references>
      </pivotArea>
    </format>
    <format dxfId="268">
      <pivotArea outline="0" collapsedLevelsAreSubtotals="1" fieldPosition="0">
        <references count="4">
          <reference field="4294967294" count="1" selected="0">
            <x v="5"/>
          </reference>
          <reference field="0" count="1" selected="0">
            <x v="11"/>
          </reference>
          <reference field="4" count="2" selected="0">
            <x v="11"/>
            <x v="12"/>
          </reference>
          <reference field="60" count="1" selected="0">
            <x v="3"/>
          </reference>
        </references>
      </pivotArea>
    </format>
    <format dxfId="267">
      <pivotArea outline="0" collapsedLevelsAreSubtotals="1" fieldPosition="0">
        <references count="4">
          <reference field="4294967294" count="1" selected="0">
            <x v="8"/>
          </reference>
          <reference field="0" count="1" selected="0">
            <x v="11"/>
          </reference>
          <reference field="4" count="1" selected="0">
            <x v="0"/>
          </reference>
          <reference field="60" count="1" selected="0">
            <x v="0"/>
          </reference>
        </references>
      </pivotArea>
    </format>
    <format dxfId="266">
      <pivotArea outline="0" collapsedLevelsAreSubtotals="1" fieldPosition="0">
        <references count="4">
          <reference field="4294967294" count="1" selected="0">
            <x v="2"/>
          </reference>
          <reference field="0" count="1" selected="0">
            <x v="12"/>
          </reference>
          <reference field="4" count="2" selected="0">
            <x v="7"/>
            <x v="8"/>
          </reference>
          <reference field="60" count="1" selected="0">
            <x v="1"/>
          </reference>
        </references>
      </pivotArea>
    </format>
    <format dxfId="265">
      <pivotArea outline="0" collapsedLevelsAreSubtotals="1" fieldPosition="0">
        <references count="4">
          <reference field="4294967294" count="1" selected="0">
            <x v="2"/>
          </reference>
          <reference field="0" count="1" selected="0">
            <x v="13"/>
          </reference>
          <reference field="4" count="1" selected="0">
            <x v="4"/>
          </reference>
          <reference field="60" count="1" selected="0">
            <x v="0"/>
          </reference>
        </references>
      </pivotArea>
    </format>
    <format dxfId="264">
      <pivotArea outline="0" collapsedLevelsAreSubtotals="1" fieldPosition="0">
        <references count="4">
          <reference field="4294967294" count="1" selected="0">
            <x v="8"/>
          </reference>
          <reference field="0" count="1" selected="0">
            <x v="13"/>
          </reference>
          <reference field="4" count="1" selected="0">
            <x v="0"/>
          </reference>
          <reference field="60" count="1" selected="0">
            <x v="0"/>
          </reference>
        </references>
      </pivotArea>
    </format>
    <format dxfId="263">
      <pivotArea outline="0" collapsedLevelsAreSubtotals="1" fieldPosition="0">
        <references count="4">
          <reference field="4294967294" count="1" selected="0">
            <x v="2"/>
          </reference>
          <reference field="0" count="1" selected="0">
            <x v="13"/>
          </reference>
          <reference field="4" count="2" selected="0">
            <x v="7"/>
            <x v="8"/>
          </reference>
          <reference field="60" count="1" selected="0">
            <x v="1"/>
          </reference>
        </references>
      </pivotArea>
    </format>
    <format dxfId="262">
      <pivotArea outline="0" collapsedLevelsAreSubtotals="1" fieldPosition="0">
        <references count="4">
          <reference field="4294967294" count="1" selected="0">
            <x v="2"/>
          </reference>
          <reference field="0" count="1" selected="0">
            <x v="14"/>
          </reference>
          <reference field="4" count="1" selected="0">
            <x v="3"/>
          </reference>
          <reference field="60" count="1" selected="0">
            <x v="0"/>
          </reference>
        </references>
      </pivotArea>
    </format>
    <format dxfId="261">
      <pivotArea outline="0" collapsedLevelsAreSubtotals="1" fieldPosition="0">
        <references count="4">
          <reference field="4294967294" count="1" selected="0">
            <x v="8"/>
          </reference>
          <reference field="0" count="1" selected="0">
            <x v="14"/>
          </reference>
          <reference field="4" count="1" selected="0">
            <x v="3"/>
          </reference>
          <reference field="60" count="1" selected="0">
            <x v="0"/>
          </reference>
        </references>
      </pivotArea>
    </format>
    <format dxfId="260">
      <pivotArea outline="0" collapsedLevelsAreSubtotals="1" fieldPosition="0">
        <references count="4">
          <reference field="4294967294" count="1" selected="0">
            <x v="2"/>
          </reference>
          <reference field="0" count="1" selected="0">
            <x v="14"/>
          </reference>
          <reference field="4" count="1" selected="0">
            <x v="8"/>
          </reference>
          <reference field="60" count="1" selected="0">
            <x v="1"/>
          </reference>
        </references>
      </pivotArea>
    </format>
    <format dxfId="259">
      <pivotArea outline="0" collapsedLevelsAreSubtotals="1" fieldPosition="0">
        <references count="4">
          <reference field="4294967294" count="1" selected="0">
            <x v="5"/>
          </reference>
          <reference field="0" count="1" selected="0">
            <x v="14"/>
          </reference>
          <reference field="4" count="3" selected="0">
            <x v="6"/>
            <x v="7"/>
            <x v="8"/>
          </reference>
          <reference field="60" count="1" selected="0">
            <x v="1"/>
          </reference>
        </references>
      </pivotArea>
    </format>
    <format dxfId="258">
      <pivotArea outline="0" collapsedLevelsAreSubtotals="1" fieldPosition="0">
        <references count="4">
          <reference field="4294967294" count="1" selected="0">
            <x v="8"/>
          </reference>
          <reference field="0" count="1" selected="0">
            <x v="15"/>
          </reference>
          <reference field="4" count="1" selected="0">
            <x v="1"/>
          </reference>
          <reference field="60" count="1" selected="0">
            <x v="0"/>
          </reference>
        </references>
      </pivotArea>
    </format>
    <format dxfId="257">
      <pivotArea outline="0" collapsedLevelsAreSubtotals="1" fieldPosition="0">
        <references count="4">
          <reference field="4294967294" count="1" selected="0">
            <x v="2"/>
          </reference>
          <reference field="0" count="1" selected="0">
            <x v="16"/>
          </reference>
          <reference field="4" count="2" selected="0">
            <x v="8"/>
            <x v="9"/>
          </reference>
          <reference field="60" count="1" selected="0">
            <x v="1"/>
          </reference>
        </references>
      </pivotArea>
    </format>
    <format dxfId="256">
      <pivotArea outline="0" collapsedLevelsAreSubtotals="1" fieldPosition="0">
        <references count="4">
          <reference field="4294967294" count="1" selected="0">
            <x v="7"/>
          </reference>
          <reference field="0" count="1" selected="0">
            <x v="11"/>
          </reference>
          <reference field="4" count="1" selected="0">
            <x v="6"/>
          </reference>
          <reference field="60" count="1" selected="0">
            <x v="1"/>
          </reference>
        </references>
      </pivotArea>
    </format>
    <format dxfId="255">
      <pivotArea type="topRight" dataOnly="0" labelOnly="1" outline="0" offset="M1:O1" fieldPosition="0"/>
    </format>
    <format dxfId="254">
      <pivotArea outline="0" collapsedLevelsAreSubtotals="1" fieldPosition="0">
        <references count="1">
          <reference field="60" count="1" selected="0" defaultSubtotal="1">
            <x v="7"/>
          </reference>
        </references>
      </pivotArea>
    </format>
    <format dxfId="253">
      <pivotArea outline="0" collapsedLevelsAreSubtotals="1" fieldPosition="0">
        <references count="2">
          <reference field="4" count="1" selected="0">
            <x v="12"/>
          </reference>
          <reference field="60" count="1" selected="0">
            <x v="3"/>
          </reference>
        </references>
      </pivotArea>
    </format>
    <format dxfId="252">
      <pivotArea outline="0" collapsedLevelsAreSubtotals="1" fieldPosition="0">
        <references count="1">
          <reference field="60" count="1" selected="0" defaultSubtotal="1">
            <x v="3"/>
          </reference>
        </references>
      </pivotArea>
    </format>
    <format dxfId="251">
      <pivotArea type="topRight" dataOnly="0" labelOnly="1" outline="0" offset="N1:O1" fieldPosition="0"/>
    </format>
    <format dxfId="250">
      <pivotArea dataOnly="0" labelOnly="1" outline="0" offset="IV256" fieldPosition="0">
        <references count="1">
          <reference field="60" count="1">
            <x v="3"/>
          </reference>
        </references>
      </pivotArea>
    </format>
    <format dxfId="249">
      <pivotArea dataOnly="0" labelOnly="1" outline="0" fieldPosition="0">
        <references count="1">
          <reference field="60" count="1" defaultSubtotal="1">
            <x v="3"/>
          </reference>
        </references>
      </pivotArea>
    </format>
    <format dxfId="248">
      <pivotArea dataOnly="0" labelOnly="1" outline="0" fieldPosition="0">
        <references count="2">
          <reference field="4" count="1">
            <x v="12"/>
          </reference>
          <reference field="60" count="1" selected="0">
            <x v="3"/>
          </reference>
        </references>
      </pivotArea>
    </format>
    <format dxfId="247">
      <pivotArea outline="0" collapsedLevelsAreSubtotals="1" fieldPosition="0">
        <references count="4">
          <reference field="4294967294" count="1" selected="0">
            <x v="2"/>
          </reference>
          <reference field="0" count="1" selected="0">
            <x v="15"/>
          </reference>
          <reference field="4" count="3" selected="0">
            <x v="7"/>
            <x v="8"/>
            <x v="9"/>
          </reference>
          <reference field="60" count="1" selected="0">
            <x v="1"/>
          </reference>
        </references>
      </pivotArea>
    </format>
    <format dxfId="246">
      <pivotArea outline="0" collapsedLevelsAreSubtotals="1" fieldPosition="0">
        <references count="4">
          <reference field="4294967294" count="1" selected="0">
            <x v="2"/>
          </reference>
          <reference field="0" count="1" selected="0">
            <x v="15"/>
          </reference>
          <reference field="4" count="1" selected="0">
            <x v="7"/>
          </reference>
          <reference field="60" count="1" selected="0">
            <x v="1"/>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3" cacheId="3" dataOnRows="1" applyNumberFormats="0" applyBorderFormats="0" applyFontFormats="0" applyPatternFormats="0" applyAlignmentFormats="0" applyWidthHeightFormats="1" dataCaption="Data" updatedVersion="4" minRefreshableVersion="3" asteriskTotals="1" showMemberPropertyTips="0" useAutoFormatting="1" colGrandTotals="0" itemPrintTitles="1" createdVersion="3" indent="0" compact="0" compactData="0" gridDropZones="1">
  <location ref="A3:Y124" firstHeaderRow="1" firstDataRow="3" firstDataCol="2"/>
  <pivotFields count="47">
    <pivotField axis="axisRow" compact="0" outline="0" subtotalTop="0" showAll="0" includeNewItemsInFilter="1">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howAll="0" defaultSubtotal="0"/>
    <pivotField compact="0" outline="0" subtotalTop="0" showAll="0" includeNewItemsInFilter="1"/>
    <pivotField axis="axisCol" compact="0" outline="0" subtotalTop="0" showAll="0" includeNewItemsInFilter="1">
      <items count="20">
        <item x="0"/>
        <item x="1"/>
        <item x="2"/>
        <item x="3"/>
        <item x="4"/>
        <item x="5"/>
        <item x="11"/>
        <item x="6"/>
        <item x="7"/>
        <item x="8"/>
        <item x="16"/>
        <item h="1" x="15"/>
        <item x="9"/>
        <item x="10"/>
        <item m="1" x="17"/>
        <item m="1" x="18"/>
        <item x="13"/>
        <item x="14"/>
        <item x="1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axis="axisCol" compact="0" outline="0" subtotalTop="0" showAll="0" includeNewItemsInFilter="1">
      <items count="10">
        <item n="Four-Year" x="3"/>
        <item n="Two-Year" x="4"/>
        <item x="2"/>
        <item x="1"/>
        <item n="Technical" x="5"/>
        <item x="0"/>
        <item x="6"/>
        <item x="7"/>
        <item x="8"/>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dragToRow="0" dragToCol="0" dragToPage="0" showAll="0" defaultSubtotal="0"/>
  </pivotFields>
  <rowFields count="2">
    <field x="0"/>
    <field x="-2"/>
  </rowFields>
  <rowItems count="119">
    <i>
      <x/>
      <x/>
    </i>
    <i r="1" i="1">
      <x v="1"/>
    </i>
    <i r="1" i="2">
      <x v="2"/>
    </i>
    <i r="1" i="3">
      <x v="3"/>
    </i>
    <i r="1" i="4">
      <x v="4"/>
    </i>
    <i r="1" i="5">
      <x v="5"/>
    </i>
    <i r="1" i="6">
      <x v="6"/>
    </i>
    <i>
      <x v="1"/>
      <x/>
    </i>
    <i r="1" i="1">
      <x v="1"/>
    </i>
    <i r="1" i="2">
      <x v="2"/>
    </i>
    <i r="1" i="3">
      <x v="3"/>
    </i>
    <i r="1" i="4">
      <x v="4"/>
    </i>
    <i r="1" i="5">
      <x v="5"/>
    </i>
    <i r="1" i="6">
      <x v="6"/>
    </i>
    <i>
      <x v="2"/>
      <x/>
    </i>
    <i r="1" i="1">
      <x v="1"/>
    </i>
    <i r="1" i="2">
      <x v="2"/>
    </i>
    <i r="1" i="3">
      <x v="3"/>
    </i>
    <i r="1" i="4">
      <x v="4"/>
    </i>
    <i r="1" i="5">
      <x v="5"/>
    </i>
    <i r="1" i="6">
      <x v="6"/>
    </i>
    <i>
      <x v="3"/>
      <x/>
    </i>
    <i r="1" i="1">
      <x v="1"/>
    </i>
    <i r="1" i="2">
      <x v="2"/>
    </i>
    <i r="1" i="3">
      <x v="3"/>
    </i>
    <i r="1" i="4">
      <x v="4"/>
    </i>
    <i r="1" i="5">
      <x v="5"/>
    </i>
    <i r="1" i="6">
      <x v="6"/>
    </i>
    <i>
      <x v="4"/>
      <x/>
    </i>
    <i r="1" i="1">
      <x v="1"/>
    </i>
    <i r="1" i="2">
      <x v="2"/>
    </i>
    <i r="1" i="3">
      <x v="3"/>
    </i>
    <i r="1" i="4">
      <x v="4"/>
    </i>
    <i r="1" i="5">
      <x v="5"/>
    </i>
    <i r="1" i="6">
      <x v="6"/>
    </i>
    <i>
      <x v="5"/>
      <x/>
    </i>
    <i r="1" i="1">
      <x v="1"/>
    </i>
    <i r="1" i="2">
      <x v="2"/>
    </i>
    <i r="1" i="3">
      <x v="3"/>
    </i>
    <i r="1" i="4">
      <x v="4"/>
    </i>
    <i r="1" i="5">
      <x v="5"/>
    </i>
    <i r="1" i="6">
      <x v="6"/>
    </i>
    <i>
      <x v="6"/>
      <x/>
    </i>
    <i r="1" i="1">
      <x v="1"/>
    </i>
    <i r="1" i="2">
      <x v="2"/>
    </i>
    <i r="1" i="3">
      <x v="3"/>
    </i>
    <i r="1" i="4">
      <x v="4"/>
    </i>
    <i r="1" i="5">
      <x v="5"/>
    </i>
    <i r="1" i="6">
      <x v="6"/>
    </i>
    <i>
      <x v="7"/>
      <x/>
    </i>
    <i r="1" i="1">
      <x v="1"/>
    </i>
    <i r="1" i="2">
      <x v="2"/>
    </i>
    <i r="1" i="3">
      <x v="3"/>
    </i>
    <i r="1" i="4">
      <x v="4"/>
    </i>
    <i r="1" i="5">
      <x v="5"/>
    </i>
    <i r="1" i="6">
      <x v="6"/>
    </i>
    <i>
      <x v="8"/>
      <x/>
    </i>
    <i r="1" i="1">
      <x v="1"/>
    </i>
    <i r="1" i="2">
      <x v="2"/>
    </i>
    <i r="1" i="3">
      <x v="3"/>
    </i>
    <i r="1" i="4">
      <x v="4"/>
    </i>
    <i r="1" i="5">
      <x v="5"/>
    </i>
    <i r="1" i="6">
      <x v="6"/>
    </i>
    <i>
      <x v="9"/>
      <x/>
    </i>
    <i r="1" i="1">
      <x v="1"/>
    </i>
    <i r="1" i="2">
      <x v="2"/>
    </i>
    <i r="1" i="3">
      <x v="3"/>
    </i>
    <i r="1" i="4">
      <x v="4"/>
    </i>
    <i r="1" i="5">
      <x v="5"/>
    </i>
    <i r="1" i="6">
      <x v="6"/>
    </i>
    <i>
      <x v="10"/>
      <x/>
    </i>
    <i r="1" i="1">
      <x v="1"/>
    </i>
    <i r="1" i="2">
      <x v="2"/>
    </i>
    <i r="1" i="3">
      <x v="3"/>
    </i>
    <i r="1" i="4">
      <x v="4"/>
    </i>
    <i r="1" i="5">
      <x v="5"/>
    </i>
    <i r="1" i="6">
      <x v="6"/>
    </i>
    <i>
      <x v="11"/>
      <x/>
    </i>
    <i r="1" i="1">
      <x v="1"/>
    </i>
    <i r="1" i="2">
      <x v="2"/>
    </i>
    <i r="1" i="3">
      <x v="3"/>
    </i>
    <i r="1" i="4">
      <x v="4"/>
    </i>
    <i r="1" i="5">
      <x v="5"/>
    </i>
    <i r="1" i="6">
      <x v="6"/>
    </i>
    <i>
      <x v="12"/>
      <x/>
    </i>
    <i r="1" i="1">
      <x v="1"/>
    </i>
    <i r="1" i="2">
      <x v="2"/>
    </i>
    <i r="1" i="3">
      <x v="3"/>
    </i>
    <i r="1" i="4">
      <x v="4"/>
    </i>
    <i r="1" i="5">
      <x v="5"/>
    </i>
    <i r="1" i="6">
      <x v="6"/>
    </i>
    <i>
      <x v="13"/>
      <x/>
    </i>
    <i r="1" i="1">
      <x v="1"/>
    </i>
    <i r="1" i="2">
      <x v="2"/>
    </i>
    <i r="1" i="3">
      <x v="3"/>
    </i>
    <i r="1" i="4">
      <x v="4"/>
    </i>
    <i r="1" i="5">
      <x v="5"/>
    </i>
    <i r="1" i="6">
      <x v="6"/>
    </i>
    <i>
      <x v="14"/>
      <x/>
    </i>
    <i r="1" i="1">
      <x v="1"/>
    </i>
    <i r="1" i="2">
      <x v="2"/>
    </i>
    <i r="1" i="3">
      <x v="3"/>
    </i>
    <i r="1" i="4">
      <x v="4"/>
    </i>
    <i r="1" i="5">
      <x v="5"/>
    </i>
    <i r="1" i="6">
      <x v="6"/>
    </i>
    <i>
      <x v="15"/>
      <x/>
    </i>
    <i r="1" i="1">
      <x v="1"/>
    </i>
    <i r="1" i="2">
      <x v="2"/>
    </i>
    <i r="1" i="3">
      <x v="3"/>
    </i>
    <i r="1" i="4">
      <x v="4"/>
    </i>
    <i r="1" i="5">
      <x v="5"/>
    </i>
    <i r="1" i="6">
      <x v="6"/>
    </i>
    <i t="grand">
      <x/>
    </i>
    <i t="grand" i="1">
      <x/>
    </i>
    <i t="grand" i="2">
      <x/>
    </i>
    <i t="grand" i="3">
      <x/>
    </i>
    <i t="grand" i="4">
      <x/>
    </i>
    <i t="grand" i="5">
      <x/>
    </i>
    <i t="grand" i="6">
      <x/>
    </i>
  </rowItems>
  <colFields count="2">
    <field x="43"/>
    <field x="4"/>
  </colFields>
  <colItems count="23">
    <i>
      <x/>
      <x/>
    </i>
    <i r="1">
      <x v="1"/>
    </i>
    <i r="1">
      <x v="2"/>
    </i>
    <i r="1">
      <x v="3"/>
    </i>
    <i r="1">
      <x v="4"/>
    </i>
    <i r="1">
      <x v="5"/>
    </i>
    <i t="default">
      <x/>
    </i>
    <i>
      <x v="1"/>
      <x v="6"/>
    </i>
    <i r="1">
      <x v="7"/>
    </i>
    <i r="1">
      <x v="8"/>
    </i>
    <i r="1">
      <x v="9"/>
    </i>
    <i t="default">
      <x v="1"/>
    </i>
    <i>
      <x v="2"/>
      <x v="10"/>
    </i>
    <i t="default">
      <x v="2"/>
    </i>
    <i>
      <x v="4"/>
      <x v="12"/>
    </i>
    <i r="1">
      <x v="13"/>
    </i>
    <i t="default">
      <x v="4"/>
    </i>
    <i>
      <x v="6"/>
      <x v="16"/>
    </i>
    <i t="default">
      <x v="6"/>
    </i>
    <i>
      <x v="7"/>
      <x v="17"/>
    </i>
    <i t="default">
      <x v="7"/>
    </i>
    <i>
      <x v="8"/>
      <x v="18"/>
    </i>
    <i t="default">
      <x v="8"/>
    </i>
  </colItems>
  <dataFields count="7">
    <dataField name="Sum of Old-Total UGH" fld="44" baseField="0" baseItem="0" numFmtId="3"/>
    <dataField name="Sum of Old-Total HSH" fld="45" baseField="0" baseItem="0" numFmtId="3"/>
    <dataField name="Sum of Old-HS % of Total" fld="42" baseField="0" baseItem="0" numFmtId="3"/>
    <dataField name="Sum of New-Total UGH" fld="40" baseField="0" baseItem="0" numFmtId="3"/>
    <dataField name="Sum of New-Total HSH" fld="39" baseField="0" baseItem="0" numFmtId="3"/>
    <dataField name="Sum of New-HS % of Total" fld="41" baseField="0" baseItem="0" numFmtId="3"/>
    <dataField name=" HS Percentage-point Change" fld="46" baseField="0" baseItem="0" numFmtId="3"/>
  </dataFields>
  <formats count="214">
    <format dxfId="245">
      <pivotArea outline="0" fieldPosition="0">
        <references count="2">
          <reference field="4294967294" count="1" selected="0">
            <x v="2"/>
          </reference>
          <reference field="0" count="1" selected="0">
            <x v="0"/>
          </reference>
        </references>
      </pivotArea>
    </format>
    <format dxfId="244">
      <pivotArea dataOnly="0" labelOnly="1" outline="0" fieldPosition="0">
        <references count="2">
          <reference field="4294967294" count="1">
            <x v="2"/>
          </reference>
          <reference field="0" count="1" selected="0">
            <x v="0"/>
          </reference>
        </references>
      </pivotArea>
    </format>
    <format dxfId="243">
      <pivotArea outline="0" fieldPosition="0">
        <references count="2">
          <reference field="4294967294" count="1" selected="0">
            <x v="5"/>
          </reference>
          <reference field="0" count="1" selected="0">
            <x v="0"/>
          </reference>
        </references>
      </pivotArea>
    </format>
    <format dxfId="242">
      <pivotArea dataOnly="0" labelOnly="1" outline="0" fieldPosition="0">
        <references count="2">
          <reference field="4294967294" count="1">
            <x v="5"/>
          </reference>
          <reference field="0" count="1" selected="0">
            <x v="0"/>
          </reference>
        </references>
      </pivotArea>
    </format>
    <format dxfId="241">
      <pivotArea outline="0" fieldPosition="0">
        <references count="2">
          <reference field="4294967294" count="1" selected="0">
            <x v="5"/>
          </reference>
          <reference field="0" count="1" selected="0">
            <x v="0"/>
          </reference>
        </references>
      </pivotArea>
    </format>
    <format dxfId="240">
      <pivotArea dataOnly="0" labelOnly="1" outline="0" fieldPosition="0">
        <references count="1">
          <reference field="0" count="1">
            <x v="0"/>
          </reference>
        </references>
      </pivotArea>
    </format>
    <format dxfId="239">
      <pivotArea dataOnly="0" labelOnly="1" outline="0" fieldPosition="0">
        <references count="1">
          <reference field="0" count="1">
            <x v="1"/>
          </reference>
        </references>
      </pivotArea>
    </format>
    <format dxfId="238">
      <pivotArea dataOnly="0" labelOnly="1" outline="0" fieldPosition="0">
        <references count="1">
          <reference field="0" count="1">
            <x v="2"/>
          </reference>
        </references>
      </pivotArea>
    </format>
    <format dxfId="237">
      <pivotArea dataOnly="0" labelOnly="1" outline="0" fieldPosition="0">
        <references count="1">
          <reference field="0" count="1">
            <x v="3"/>
          </reference>
        </references>
      </pivotArea>
    </format>
    <format dxfId="236">
      <pivotArea dataOnly="0" labelOnly="1" outline="0" fieldPosition="0">
        <references count="1">
          <reference field="0" count="1">
            <x v="4"/>
          </reference>
        </references>
      </pivotArea>
    </format>
    <format dxfId="235">
      <pivotArea dataOnly="0" labelOnly="1" outline="0" fieldPosition="0">
        <references count="1">
          <reference field="0" count="1">
            <x v="5"/>
          </reference>
        </references>
      </pivotArea>
    </format>
    <format dxfId="234">
      <pivotArea dataOnly="0" labelOnly="1" outline="0" fieldPosition="0">
        <references count="1">
          <reference field="0" count="1">
            <x v="7"/>
          </reference>
        </references>
      </pivotArea>
    </format>
    <format dxfId="233">
      <pivotArea dataOnly="0" labelOnly="1" outline="0" fieldPosition="0">
        <references count="1">
          <reference field="0" count="1">
            <x v="8"/>
          </reference>
        </references>
      </pivotArea>
    </format>
    <format dxfId="232">
      <pivotArea dataOnly="0" labelOnly="1" outline="0" fieldPosition="0">
        <references count="1">
          <reference field="0" count="1">
            <x v="9"/>
          </reference>
        </references>
      </pivotArea>
    </format>
    <format dxfId="231">
      <pivotArea dataOnly="0" labelOnly="1" outline="0" fieldPosition="0">
        <references count="1">
          <reference field="0" count="1">
            <x v="10"/>
          </reference>
        </references>
      </pivotArea>
    </format>
    <format dxfId="230">
      <pivotArea dataOnly="0" labelOnly="1" outline="0" fieldPosition="0">
        <references count="1">
          <reference field="0" count="1">
            <x v="11"/>
          </reference>
        </references>
      </pivotArea>
    </format>
    <format dxfId="229">
      <pivotArea dataOnly="0" labelOnly="1" outline="0" fieldPosition="0">
        <references count="1">
          <reference field="0" count="1">
            <x v="12"/>
          </reference>
        </references>
      </pivotArea>
    </format>
    <format dxfId="228">
      <pivotArea dataOnly="0" labelOnly="1" outline="0" fieldPosition="0">
        <references count="1">
          <reference field="0" count="1">
            <x v="13"/>
          </reference>
        </references>
      </pivotArea>
    </format>
    <format dxfId="227">
      <pivotArea dataOnly="0" labelOnly="1" outline="0" fieldPosition="0">
        <references count="1">
          <reference field="0" count="1">
            <x v="14"/>
          </reference>
        </references>
      </pivotArea>
    </format>
    <format dxfId="226">
      <pivotArea dataOnly="0" labelOnly="1" outline="0" fieldPosition="0">
        <references count="1">
          <reference field="0" count="1">
            <x v="15"/>
          </reference>
        </references>
      </pivotArea>
    </format>
    <format dxfId="225">
      <pivotArea dataOnly="0" labelOnly="1" outline="0" fieldPosition="0">
        <references count="1">
          <reference field="0" count="1">
            <x v="6"/>
          </reference>
        </references>
      </pivotArea>
    </format>
    <format dxfId="224">
      <pivotArea outline="0" fieldPosition="0">
        <references count="2">
          <reference field="4294967294" count="1" selected="0">
            <x v="5"/>
          </reference>
          <reference field="0" count="1" selected="0">
            <x v="0"/>
          </reference>
        </references>
      </pivotArea>
    </format>
    <format dxfId="223">
      <pivotArea outline="0" fieldPosition="0">
        <references count="2">
          <reference field="4294967294" count="1" selected="0">
            <x v="2"/>
          </reference>
          <reference field="0" count="1" selected="0">
            <x v="1"/>
          </reference>
        </references>
      </pivotArea>
    </format>
    <format dxfId="222">
      <pivotArea outline="0" fieldPosition="0">
        <references count="2">
          <reference field="4294967294" count="1" selected="0">
            <x v="2"/>
          </reference>
          <reference field="0" count="1" selected="0">
            <x v="1"/>
          </reference>
        </references>
      </pivotArea>
    </format>
    <format dxfId="221">
      <pivotArea outline="0" fieldPosition="0">
        <references count="2">
          <reference field="4294967294" count="1" selected="0">
            <x v="5"/>
          </reference>
          <reference field="0" count="1" selected="0">
            <x v="0"/>
          </reference>
        </references>
      </pivotArea>
    </format>
    <format dxfId="220">
      <pivotArea dataOnly="0" labelOnly="1" outline="0" offset="IV256" fieldPosition="0">
        <references count="1">
          <reference field="0" count="1">
            <x v="0"/>
          </reference>
        </references>
      </pivotArea>
    </format>
    <format dxfId="219">
      <pivotArea dataOnly="0" labelOnly="1" outline="0" fieldPosition="0">
        <references count="2">
          <reference field="4294967294" count="1">
            <x v="5"/>
          </reference>
          <reference field="0" count="1" selected="0">
            <x v="0"/>
          </reference>
        </references>
      </pivotArea>
    </format>
    <format dxfId="218">
      <pivotArea type="all" dataOnly="0" outline="0" fieldPosition="0"/>
    </format>
    <format dxfId="217">
      <pivotArea outline="0" fieldPosition="0">
        <references count="2">
          <reference field="4294967294" count="1" selected="0">
            <x v="5"/>
          </reference>
          <reference field="0" count="1" selected="0">
            <x v="0"/>
          </reference>
        </references>
      </pivotArea>
    </format>
    <format dxfId="216">
      <pivotArea dataOnly="0" labelOnly="1" outline="0" fieldPosition="0">
        <references count="2">
          <reference field="4294967294" count="1">
            <x v="0"/>
          </reference>
          <reference field="0" count="1" selected="0">
            <x v="1"/>
          </reference>
        </references>
      </pivotArea>
    </format>
    <format dxfId="215">
      <pivotArea dataOnly="0" labelOnly="1" outline="0" fieldPosition="0">
        <references count="2">
          <reference field="4294967294" count="1">
            <x v="0"/>
          </reference>
          <reference field="0" count="1" selected="0">
            <x v="2"/>
          </reference>
        </references>
      </pivotArea>
    </format>
    <format dxfId="214">
      <pivotArea dataOnly="0" labelOnly="1" outline="0" fieldPosition="0">
        <references count="2">
          <reference field="4294967294" count="1">
            <x v="0"/>
          </reference>
          <reference field="0" count="1" selected="0">
            <x v="3"/>
          </reference>
        </references>
      </pivotArea>
    </format>
    <format dxfId="213">
      <pivotArea dataOnly="0" labelOnly="1" outline="0" fieldPosition="0">
        <references count="2">
          <reference field="4294967294" count="1">
            <x v="0"/>
          </reference>
          <reference field="0" count="1" selected="0">
            <x v="4"/>
          </reference>
        </references>
      </pivotArea>
    </format>
    <format dxfId="212">
      <pivotArea dataOnly="0" labelOnly="1" outline="0" fieldPosition="0">
        <references count="2">
          <reference field="4294967294" count="1">
            <x v="0"/>
          </reference>
          <reference field="0" count="1" selected="0">
            <x v="5"/>
          </reference>
        </references>
      </pivotArea>
    </format>
    <format dxfId="211">
      <pivotArea dataOnly="0" labelOnly="1" outline="0" fieldPosition="0">
        <references count="2">
          <reference field="4294967294" count="1">
            <x v="0"/>
          </reference>
          <reference field="0" count="1" selected="0">
            <x v="6"/>
          </reference>
        </references>
      </pivotArea>
    </format>
    <format dxfId="210">
      <pivotArea dataOnly="0" labelOnly="1" outline="0" fieldPosition="0">
        <references count="2">
          <reference field="4294967294" count="1">
            <x v="0"/>
          </reference>
          <reference field="0" count="1" selected="0">
            <x v="7"/>
          </reference>
        </references>
      </pivotArea>
    </format>
    <format dxfId="209">
      <pivotArea dataOnly="0" labelOnly="1" outline="0" fieldPosition="0">
        <references count="2">
          <reference field="4294967294" count="1">
            <x v="0"/>
          </reference>
          <reference field="0" count="1" selected="0">
            <x v="8"/>
          </reference>
        </references>
      </pivotArea>
    </format>
    <format dxfId="208">
      <pivotArea dataOnly="0" labelOnly="1" outline="0" fieldPosition="0">
        <references count="2">
          <reference field="4294967294" count="1">
            <x v="0"/>
          </reference>
          <reference field="0" count="1" selected="0">
            <x v="9"/>
          </reference>
        </references>
      </pivotArea>
    </format>
    <format dxfId="207">
      <pivotArea dataOnly="0" labelOnly="1" outline="0" fieldPosition="0">
        <references count="2">
          <reference field="4294967294" count="1">
            <x v="0"/>
          </reference>
          <reference field="0" count="1" selected="0">
            <x v="10"/>
          </reference>
        </references>
      </pivotArea>
    </format>
    <format dxfId="206">
      <pivotArea dataOnly="0" labelOnly="1" outline="0" fieldPosition="0">
        <references count="2">
          <reference field="4294967294" count="1">
            <x v="0"/>
          </reference>
          <reference field="0" count="1" selected="0">
            <x v="11"/>
          </reference>
        </references>
      </pivotArea>
    </format>
    <format dxfId="205">
      <pivotArea dataOnly="0" labelOnly="1" outline="0" fieldPosition="0">
        <references count="2">
          <reference field="4294967294" count="1">
            <x v="0"/>
          </reference>
          <reference field="0" count="1" selected="0">
            <x v="12"/>
          </reference>
        </references>
      </pivotArea>
    </format>
    <format dxfId="204">
      <pivotArea dataOnly="0" labelOnly="1" outline="0" fieldPosition="0">
        <references count="2">
          <reference field="4294967294" count="1">
            <x v="0"/>
          </reference>
          <reference field="0" count="1" selected="0">
            <x v="13"/>
          </reference>
        </references>
      </pivotArea>
    </format>
    <format dxfId="203">
      <pivotArea dataOnly="0" labelOnly="1" outline="0" fieldPosition="0">
        <references count="2">
          <reference field="4294967294" count="1">
            <x v="0"/>
          </reference>
          <reference field="0" count="1" selected="0">
            <x v="14"/>
          </reference>
        </references>
      </pivotArea>
    </format>
    <format dxfId="202">
      <pivotArea dataOnly="0" labelOnly="1" outline="0" fieldPosition="0">
        <references count="2">
          <reference field="4294967294" count="1">
            <x v="0"/>
          </reference>
          <reference field="0" count="1" selected="0">
            <x v="15"/>
          </reference>
        </references>
      </pivotArea>
    </format>
    <format dxfId="201">
      <pivotArea outline="0" fieldPosition="0">
        <references count="2">
          <reference field="4294967294" count="1" selected="0">
            <x v="0"/>
          </reference>
          <reference field="0" count="1" selected="0">
            <x v="6"/>
          </reference>
        </references>
      </pivotArea>
    </format>
    <format dxfId="200">
      <pivotArea dataOnly="0" labelOnly="1" outline="0" offset="IV1" fieldPosition="0">
        <references count="1">
          <reference field="0" count="1">
            <x v="6"/>
          </reference>
        </references>
      </pivotArea>
    </format>
    <format dxfId="199">
      <pivotArea dataOnly="0" labelOnly="1" outline="0" fieldPosition="0">
        <references count="2">
          <reference field="4294967294" count="1">
            <x v="0"/>
          </reference>
          <reference field="0" count="1" selected="0">
            <x v="6"/>
          </reference>
        </references>
      </pivotArea>
    </format>
    <format dxfId="198">
      <pivotArea outline="0" fieldPosition="0">
        <references count="2">
          <reference field="4294967294" count="1" selected="0">
            <x v="1"/>
          </reference>
          <reference field="0" count="1" selected="0">
            <x v="6"/>
          </reference>
        </references>
      </pivotArea>
    </format>
    <format dxfId="197">
      <pivotArea dataOnly="0" labelOnly="1" outline="0" offset="IV2" fieldPosition="0">
        <references count="1">
          <reference field="0" count="1">
            <x v="6"/>
          </reference>
        </references>
      </pivotArea>
    </format>
    <format dxfId="196">
      <pivotArea dataOnly="0" labelOnly="1" outline="0" fieldPosition="0">
        <references count="2">
          <reference field="4294967294" count="1">
            <x v="1"/>
          </reference>
          <reference field="0" count="1" selected="0">
            <x v="6"/>
          </reference>
        </references>
      </pivotArea>
    </format>
    <format dxfId="195">
      <pivotArea outline="0" fieldPosition="0">
        <references count="2">
          <reference field="4294967294" count="1" selected="0">
            <x v="2"/>
          </reference>
          <reference field="0" count="1" selected="0">
            <x v="0"/>
          </reference>
        </references>
      </pivotArea>
    </format>
    <format dxfId="194">
      <pivotArea dataOnly="0" labelOnly="1" outline="0" fieldPosition="0">
        <references count="2">
          <reference field="4294967294" count="1">
            <x v="2"/>
          </reference>
          <reference field="0" count="1" selected="0">
            <x v="0"/>
          </reference>
        </references>
      </pivotArea>
    </format>
    <format dxfId="193">
      <pivotArea dataOnly="0" labelOnly="1" outline="0" fieldPosition="0">
        <references count="2">
          <reference field="4294967294" count="1">
            <x v="2"/>
          </reference>
          <reference field="0" count="1" selected="0">
            <x v="0"/>
          </reference>
        </references>
      </pivotArea>
    </format>
    <format dxfId="192">
      <pivotArea dataOnly="0" labelOnly="1" outline="0" fieldPosition="0">
        <references count="2">
          <reference field="4294967294" count="1">
            <x v="5"/>
          </reference>
          <reference field="0" count="1" selected="0">
            <x v="0"/>
          </reference>
        </references>
      </pivotArea>
    </format>
    <format dxfId="191">
      <pivotArea dataOnly="0" labelOnly="1" outline="0" fieldPosition="0">
        <references count="2">
          <reference field="4294967294" count="1">
            <x v="2"/>
          </reference>
          <reference field="0" count="1" selected="0">
            <x v="1"/>
          </reference>
        </references>
      </pivotArea>
    </format>
    <format dxfId="190">
      <pivotArea dataOnly="0" labelOnly="1" outline="0" fieldPosition="0">
        <references count="2">
          <reference field="4294967294" count="1">
            <x v="5"/>
          </reference>
          <reference field="0" count="1" selected="0">
            <x v="1"/>
          </reference>
        </references>
      </pivotArea>
    </format>
    <format dxfId="189">
      <pivotArea dataOnly="0" labelOnly="1" outline="0" fieldPosition="0">
        <references count="2">
          <reference field="4294967294" count="1">
            <x v="2"/>
          </reference>
          <reference field="0" count="1" selected="0">
            <x v="2"/>
          </reference>
        </references>
      </pivotArea>
    </format>
    <format dxfId="188">
      <pivotArea dataOnly="0" labelOnly="1" outline="0" fieldPosition="0">
        <references count="2">
          <reference field="4294967294" count="1">
            <x v="5"/>
          </reference>
          <reference field="0" count="1" selected="0">
            <x v="2"/>
          </reference>
        </references>
      </pivotArea>
    </format>
    <format dxfId="187">
      <pivotArea dataOnly="0" labelOnly="1" outline="0" fieldPosition="0">
        <references count="2">
          <reference field="4294967294" count="1">
            <x v="2"/>
          </reference>
          <reference field="0" count="1" selected="0">
            <x v="3"/>
          </reference>
        </references>
      </pivotArea>
    </format>
    <format dxfId="186">
      <pivotArea dataOnly="0" labelOnly="1" outline="0" fieldPosition="0">
        <references count="2">
          <reference field="4294967294" count="1">
            <x v="5"/>
          </reference>
          <reference field="0" count="1" selected="0">
            <x v="3"/>
          </reference>
        </references>
      </pivotArea>
    </format>
    <format dxfId="185">
      <pivotArea dataOnly="0" labelOnly="1" outline="0" fieldPosition="0">
        <references count="2">
          <reference field="4294967294" count="1">
            <x v="2"/>
          </reference>
          <reference field="0" count="1" selected="0">
            <x v="4"/>
          </reference>
        </references>
      </pivotArea>
    </format>
    <format dxfId="184">
      <pivotArea dataOnly="0" labelOnly="1" outline="0" fieldPosition="0">
        <references count="2">
          <reference field="4294967294" count="1">
            <x v="5"/>
          </reference>
          <reference field="0" count="1" selected="0">
            <x v="4"/>
          </reference>
        </references>
      </pivotArea>
    </format>
    <format dxfId="183">
      <pivotArea dataOnly="0" labelOnly="1" outline="0" fieldPosition="0">
        <references count="2">
          <reference field="4294967294" count="1">
            <x v="2"/>
          </reference>
          <reference field="0" count="1" selected="0">
            <x v="5"/>
          </reference>
        </references>
      </pivotArea>
    </format>
    <format dxfId="182">
      <pivotArea dataOnly="0" labelOnly="1" outline="0" fieldPosition="0">
        <references count="2">
          <reference field="4294967294" count="1">
            <x v="5"/>
          </reference>
          <reference field="0" count="1" selected="0">
            <x v="5"/>
          </reference>
        </references>
      </pivotArea>
    </format>
    <format dxfId="181">
      <pivotArea dataOnly="0" labelOnly="1" outline="0" fieldPosition="0">
        <references count="2">
          <reference field="4294967294" count="1">
            <x v="2"/>
          </reference>
          <reference field="0" count="1" selected="0">
            <x v="6"/>
          </reference>
        </references>
      </pivotArea>
    </format>
    <format dxfId="180">
      <pivotArea dataOnly="0" labelOnly="1" outline="0" fieldPosition="0">
        <references count="2">
          <reference field="4294967294" count="1">
            <x v="5"/>
          </reference>
          <reference field="0" count="1" selected="0">
            <x v="6"/>
          </reference>
        </references>
      </pivotArea>
    </format>
    <format dxfId="179">
      <pivotArea dataOnly="0" labelOnly="1" outline="0" fieldPosition="0">
        <references count="2">
          <reference field="4294967294" count="1">
            <x v="2"/>
          </reference>
          <reference field="0" count="1" selected="0">
            <x v="7"/>
          </reference>
        </references>
      </pivotArea>
    </format>
    <format dxfId="178">
      <pivotArea dataOnly="0" labelOnly="1" outline="0" fieldPosition="0">
        <references count="2">
          <reference field="4294967294" count="1">
            <x v="5"/>
          </reference>
          <reference field="0" count="1" selected="0">
            <x v="7"/>
          </reference>
        </references>
      </pivotArea>
    </format>
    <format dxfId="177">
      <pivotArea dataOnly="0" labelOnly="1" outline="0" fieldPosition="0">
        <references count="2">
          <reference field="4294967294" count="1">
            <x v="2"/>
          </reference>
          <reference field="0" count="1" selected="0">
            <x v="8"/>
          </reference>
        </references>
      </pivotArea>
    </format>
    <format dxfId="176">
      <pivotArea dataOnly="0" labelOnly="1" outline="0" fieldPosition="0">
        <references count="2">
          <reference field="4294967294" count="1">
            <x v="5"/>
          </reference>
          <reference field="0" count="1" selected="0">
            <x v="8"/>
          </reference>
        </references>
      </pivotArea>
    </format>
    <format dxfId="175">
      <pivotArea dataOnly="0" labelOnly="1" outline="0" fieldPosition="0">
        <references count="2">
          <reference field="4294967294" count="1">
            <x v="2"/>
          </reference>
          <reference field="0" count="1" selected="0">
            <x v="9"/>
          </reference>
        </references>
      </pivotArea>
    </format>
    <format dxfId="174">
      <pivotArea dataOnly="0" labelOnly="1" outline="0" fieldPosition="0">
        <references count="2">
          <reference field="4294967294" count="1">
            <x v="5"/>
          </reference>
          <reference field="0" count="1" selected="0">
            <x v="9"/>
          </reference>
        </references>
      </pivotArea>
    </format>
    <format dxfId="173">
      <pivotArea dataOnly="0" labelOnly="1" outline="0" fieldPosition="0">
        <references count="2">
          <reference field="4294967294" count="1">
            <x v="2"/>
          </reference>
          <reference field="0" count="1" selected="0">
            <x v="10"/>
          </reference>
        </references>
      </pivotArea>
    </format>
    <format dxfId="172">
      <pivotArea dataOnly="0" labelOnly="1" outline="0" fieldPosition="0">
        <references count="2">
          <reference field="4294967294" count="1">
            <x v="5"/>
          </reference>
          <reference field="0" count="1" selected="0">
            <x v="10"/>
          </reference>
        </references>
      </pivotArea>
    </format>
    <format dxfId="171">
      <pivotArea dataOnly="0" labelOnly="1" outline="0" fieldPosition="0">
        <references count="2">
          <reference field="4294967294" count="1">
            <x v="2"/>
          </reference>
          <reference field="0" count="1" selected="0">
            <x v="11"/>
          </reference>
        </references>
      </pivotArea>
    </format>
    <format dxfId="170">
      <pivotArea dataOnly="0" labelOnly="1" outline="0" fieldPosition="0">
        <references count="2">
          <reference field="4294967294" count="1">
            <x v="5"/>
          </reference>
          <reference field="0" count="1" selected="0">
            <x v="11"/>
          </reference>
        </references>
      </pivotArea>
    </format>
    <format dxfId="169">
      <pivotArea dataOnly="0" labelOnly="1" outline="0" fieldPosition="0">
        <references count="2">
          <reference field="4294967294" count="1">
            <x v="2"/>
          </reference>
          <reference field="0" count="1" selected="0">
            <x v="12"/>
          </reference>
        </references>
      </pivotArea>
    </format>
    <format dxfId="168">
      <pivotArea dataOnly="0" labelOnly="1" outline="0" fieldPosition="0">
        <references count="2">
          <reference field="4294967294" count="1">
            <x v="5"/>
          </reference>
          <reference field="0" count="1" selected="0">
            <x v="12"/>
          </reference>
        </references>
      </pivotArea>
    </format>
    <format dxfId="167">
      <pivotArea dataOnly="0" labelOnly="1" outline="0" fieldPosition="0">
        <references count="2">
          <reference field="4294967294" count="1">
            <x v="2"/>
          </reference>
          <reference field="0" count="1" selected="0">
            <x v="13"/>
          </reference>
        </references>
      </pivotArea>
    </format>
    <format dxfId="166">
      <pivotArea dataOnly="0" labelOnly="1" outline="0" fieldPosition="0">
        <references count="2">
          <reference field="4294967294" count="1">
            <x v="5"/>
          </reference>
          <reference field="0" count="1" selected="0">
            <x v="13"/>
          </reference>
        </references>
      </pivotArea>
    </format>
    <format dxfId="165">
      <pivotArea dataOnly="0" labelOnly="1" outline="0" fieldPosition="0">
        <references count="2">
          <reference field="4294967294" count="1">
            <x v="2"/>
          </reference>
          <reference field="0" count="1" selected="0">
            <x v="14"/>
          </reference>
        </references>
      </pivotArea>
    </format>
    <format dxfId="164">
      <pivotArea dataOnly="0" labelOnly="1" outline="0" fieldPosition="0">
        <references count="2">
          <reference field="4294967294" count="1">
            <x v="5"/>
          </reference>
          <reference field="0" count="1" selected="0">
            <x v="14"/>
          </reference>
        </references>
      </pivotArea>
    </format>
    <format dxfId="163">
      <pivotArea dataOnly="0" labelOnly="1" outline="0" fieldPosition="0">
        <references count="2">
          <reference field="4294967294" count="1">
            <x v="2"/>
          </reference>
          <reference field="0" count="1" selected="0">
            <x v="15"/>
          </reference>
        </references>
      </pivotArea>
    </format>
    <format dxfId="162">
      <pivotArea dataOnly="0" labelOnly="1" outline="0" fieldPosition="0">
        <references count="2">
          <reference field="4294967294" count="1">
            <x v="5"/>
          </reference>
          <reference field="0" count="1" selected="0">
            <x v="15"/>
          </reference>
        </references>
      </pivotArea>
    </format>
    <format dxfId="161">
      <pivotArea field="0" grandRow="1" outline="0" collapsedLevelsAreSubtotals="1" axis="axisRow" fieldPosition="0">
        <references count="1">
          <reference field="4294967294" count="1" selected="0">
            <x v="2"/>
          </reference>
        </references>
      </pivotArea>
    </format>
    <format dxfId="160">
      <pivotArea field="0" grandRow="1" outline="0" collapsedLevelsAreSubtotals="1" axis="axisRow" fieldPosition="0">
        <references count="1">
          <reference field="4294967294" count="1" selected="0">
            <x v="2"/>
          </reference>
        </references>
      </pivotArea>
    </format>
    <format dxfId="159">
      <pivotArea field="43" grandRow="1" outline="0" collapsedLevelsAreSubtotals="1" axis="axisCol" fieldPosition="0">
        <references count="3">
          <reference field="4294967294" count="1" selected="0">
            <x v="5"/>
          </reference>
          <reference field="4" count="1" selected="0">
            <x v="3"/>
          </reference>
          <reference field="43" count="1" selected="0">
            <x v="0"/>
          </reference>
        </references>
      </pivotArea>
    </format>
    <format dxfId="158">
      <pivotArea outline="0" collapsedLevelsAreSubtotals="1" fieldPosition="0">
        <references count="4">
          <reference field="4294967294" count="1" selected="0">
            <x v="2"/>
          </reference>
          <reference field="0" count="1" selected="0">
            <x v="15"/>
          </reference>
          <reference field="4" count="1" selected="0">
            <x v="3"/>
          </reference>
          <reference field="43" count="1" selected="0">
            <x v="0"/>
          </reference>
        </references>
      </pivotArea>
    </format>
    <format dxfId="157">
      <pivotArea outline="0" collapsedLevelsAreSubtotals="1" fieldPosition="0">
        <references count="4">
          <reference field="4294967294" count="1" selected="0">
            <x v="5"/>
          </reference>
          <reference field="0" count="1" selected="0">
            <x v="15"/>
          </reference>
          <reference field="4" count="1" selected="0">
            <x v="3"/>
          </reference>
          <reference field="43" count="1" selected="0">
            <x v="0"/>
          </reference>
        </references>
      </pivotArea>
    </format>
    <format dxfId="156">
      <pivotArea outline="0" collapsedLevelsAreSubtotals="1" fieldPosition="0">
        <references count="4">
          <reference field="4294967294" count="1" selected="0">
            <x v="2"/>
          </reference>
          <reference field="0" count="1" selected="0">
            <x v="14"/>
          </reference>
          <reference field="4" count="1" selected="0">
            <x v="3"/>
          </reference>
          <reference field="43" count="1" selected="0">
            <x v="0"/>
          </reference>
        </references>
      </pivotArea>
    </format>
    <format dxfId="155">
      <pivotArea outline="0" collapsedLevelsAreSubtotals="1" fieldPosition="0">
        <references count="4">
          <reference field="4294967294" count="1" selected="0">
            <x v="5"/>
          </reference>
          <reference field="0" count="1" selected="0">
            <x v="14"/>
          </reference>
          <reference field="4" count="1" selected="0">
            <x v="3"/>
          </reference>
          <reference field="43" count="1" selected="0">
            <x v="0"/>
          </reference>
        </references>
      </pivotArea>
    </format>
    <format dxfId="154">
      <pivotArea outline="0" collapsedLevelsAreSubtotals="1" fieldPosition="0">
        <references count="4">
          <reference field="4294967294" count="1" selected="0">
            <x v="2"/>
          </reference>
          <reference field="0" count="1" selected="0">
            <x v="13"/>
          </reference>
          <reference field="4" count="1" selected="0">
            <x v="3"/>
          </reference>
          <reference field="43" count="1" selected="0">
            <x v="0"/>
          </reference>
        </references>
      </pivotArea>
    </format>
    <format dxfId="153">
      <pivotArea outline="0" collapsedLevelsAreSubtotals="1" fieldPosition="0">
        <references count="4">
          <reference field="4294967294" count="1" selected="0">
            <x v="5"/>
          </reference>
          <reference field="0" count="1" selected="0">
            <x v="13"/>
          </reference>
          <reference field="4" count="1" selected="0">
            <x v="3"/>
          </reference>
          <reference field="43" count="1" selected="0">
            <x v="0"/>
          </reference>
        </references>
      </pivotArea>
    </format>
    <format dxfId="152">
      <pivotArea outline="0" collapsedLevelsAreSubtotals="1" fieldPosition="0">
        <references count="4">
          <reference field="4294967294" count="1" selected="0">
            <x v="2"/>
          </reference>
          <reference field="0" count="1" selected="0">
            <x v="12"/>
          </reference>
          <reference field="4" count="1" selected="0">
            <x v="3"/>
          </reference>
          <reference field="43" count="1" selected="0">
            <x v="0"/>
          </reference>
        </references>
      </pivotArea>
    </format>
    <format dxfId="151">
      <pivotArea outline="0" collapsedLevelsAreSubtotals="1" fieldPosition="0">
        <references count="4">
          <reference field="4294967294" count="1" selected="0">
            <x v="5"/>
          </reference>
          <reference field="0" count="1" selected="0">
            <x v="12"/>
          </reference>
          <reference field="4" count="1" selected="0">
            <x v="3"/>
          </reference>
          <reference field="43" count="1" selected="0">
            <x v="0"/>
          </reference>
        </references>
      </pivotArea>
    </format>
    <format dxfId="150">
      <pivotArea outline="0" collapsedLevelsAreSubtotals="1" fieldPosition="0">
        <references count="4">
          <reference field="4294967294" count="1" selected="0">
            <x v="2"/>
          </reference>
          <reference field="0" count="1" selected="0">
            <x v="11"/>
          </reference>
          <reference field="4" count="1" selected="0">
            <x v="3"/>
          </reference>
          <reference field="43" count="1" selected="0">
            <x v="0"/>
          </reference>
        </references>
      </pivotArea>
    </format>
    <format dxfId="149">
      <pivotArea outline="0" collapsedLevelsAreSubtotals="1" fieldPosition="0">
        <references count="4">
          <reference field="4294967294" count="1" selected="0">
            <x v="5"/>
          </reference>
          <reference field="0" count="1" selected="0">
            <x v="11"/>
          </reference>
          <reference field="4" count="1" selected="0">
            <x v="3"/>
          </reference>
          <reference field="43" count="1" selected="0">
            <x v="0"/>
          </reference>
        </references>
      </pivotArea>
    </format>
    <format dxfId="148">
      <pivotArea outline="0" collapsedLevelsAreSubtotals="1" fieldPosition="0">
        <references count="4">
          <reference field="4294967294" count="1" selected="0">
            <x v="2"/>
          </reference>
          <reference field="0" count="1" selected="0">
            <x v="10"/>
          </reference>
          <reference field="4" count="1" selected="0">
            <x v="3"/>
          </reference>
          <reference field="43" count="1" selected="0">
            <x v="0"/>
          </reference>
        </references>
      </pivotArea>
    </format>
    <format dxfId="147">
      <pivotArea outline="0" collapsedLevelsAreSubtotals="1" fieldPosition="0">
        <references count="4">
          <reference field="4294967294" count="1" selected="0">
            <x v="5"/>
          </reference>
          <reference field="0" count="1" selected="0">
            <x v="10"/>
          </reference>
          <reference field="4" count="1" selected="0">
            <x v="3"/>
          </reference>
          <reference field="43" count="1" selected="0">
            <x v="0"/>
          </reference>
        </references>
      </pivotArea>
    </format>
    <format dxfId="146">
      <pivotArea outline="0" collapsedLevelsAreSubtotals="1" fieldPosition="0">
        <references count="4">
          <reference field="4294967294" count="1" selected="0">
            <x v="2"/>
          </reference>
          <reference field="0" count="1" selected="0">
            <x v="9"/>
          </reference>
          <reference field="4" count="1" selected="0">
            <x v="3"/>
          </reference>
          <reference field="43" count="1" selected="0">
            <x v="0"/>
          </reference>
        </references>
      </pivotArea>
    </format>
    <format dxfId="145">
      <pivotArea outline="0" collapsedLevelsAreSubtotals="1" fieldPosition="0">
        <references count="4">
          <reference field="4294967294" count="1" selected="0">
            <x v="5"/>
          </reference>
          <reference field="0" count="1" selected="0">
            <x v="9"/>
          </reference>
          <reference field="4" count="1" selected="0">
            <x v="3"/>
          </reference>
          <reference field="43" count="1" selected="0">
            <x v="0"/>
          </reference>
        </references>
      </pivotArea>
    </format>
    <format dxfId="144">
      <pivotArea outline="0" collapsedLevelsAreSubtotals="1" fieldPosition="0">
        <references count="4">
          <reference field="4294967294" count="1" selected="0">
            <x v="2"/>
          </reference>
          <reference field="0" count="1" selected="0">
            <x v="8"/>
          </reference>
          <reference field="4" count="1" selected="0">
            <x v="3"/>
          </reference>
          <reference field="43" count="1" selected="0">
            <x v="0"/>
          </reference>
        </references>
      </pivotArea>
    </format>
    <format dxfId="143">
      <pivotArea outline="0" collapsedLevelsAreSubtotals="1" fieldPosition="0">
        <references count="4">
          <reference field="4294967294" count="1" selected="0">
            <x v="5"/>
          </reference>
          <reference field="0" count="1" selected="0">
            <x v="8"/>
          </reference>
          <reference field="4" count="1" selected="0">
            <x v="3"/>
          </reference>
          <reference field="43" count="1" selected="0">
            <x v="0"/>
          </reference>
        </references>
      </pivotArea>
    </format>
    <format dxfId="142">
      <pivotArea outline="0" collapsedLevelsAreSubtotals="1" fieldPosition="0">
        <references count="4">
          <reference field="4294967294" count="1" selected="0">
            <x v="2"/>
          </reference>
          <reference field="0" count="1" selected="0">
            <x v="1"/>
          </reference>
          <reference field="4" count="1" selected="0">
            <x v="3"/>
          </reference>
          <reference field="43" count="1" selected="0">
            <x v="0"/>
          </reference>
        </references>
      </pivotArea>
    </format>
    <format dxfId="141">
      <pivotArea outline="0" collapsedLevelsAreSubtotals="1" fieldPosition="0">
        <references count="4">
          <reference field="4294967294" count="1" selected="0">
            <x v="2"/>
          </reference>
          <reference field="0" count="1" selected="0">
            <x v="2"/>
          </reference>
          <reference field="4" count="1" selected="0">
            <x v="3"/>
          </reference>
          <reference field="43" count="1" selected="0">
            <x v="0"/>
          </reference>
        </references>
      </pivotArea>
    </format>
    <format dxfId="140">
      <pivotArea outline="0" collapsedLevelsAreSubtotals="1" fieldPosition="0">
        <references count="4">
          <reference field="4294967294" count="1" selected="0">
            <x v="2"/>
          </reference>
          <reference field="0" count="1" selected="0">
            <x v="3"/>
          </reference>
          <reference field="4" count="1" selected="0">
            <x v="3"/>
          </reference>
          <reference field="43" count="1" selected="0">
            <x v="0"/>
          </reference>
        </references>
      </pivotArea>
    </format>
    <format dxfId="139">
      <pivotArea outline="0" collapsedLevelsAreSubtotals="1" fieldPosition="0">
        <references count="4">
          <reference field="4294967294" count="1" selected="0">
            <x v="2"/>
          </reference>
          <reference field="0" count="1" selected="0">
            <x v="4"/>
          </reference>
          <reference field="4" count="1" selected="0">
            <x v="3"/>
          </reference>
          <reference field="43" count="1" selected="0">
            <x v="0"/>
          </reference>
        </references>
      </pivotArea>
    </format>
    <format dxfId="138">
      <pivotArea outline="0" collapsedLevelsAreSubtotals="1" fieldPosition="0">
        <references count="4">
          <reference field="4294967294" count="1" selected="0">
            <x v="2"/>
          </reference>
          <reference field="0" count="1" selected="0">
            <x v="5"/>
          </reference>
          <reference field="4" count="1" selected="0">
            <x v="3"/>
          </reference>
          <reference field="43" count="1" selected="0">
            <x v="0"/>
          </reference>
        </references>
      </pivotArea>
    </format>
    <format dxfId="137">
      <pivotArea outline="0" collapsedLevelsAreSubtotals="1" fieldPosition="0">
        <references count="4">
          <reference field="4294967294" count="1" selected="0">
            <x v="2"/>
          </reference>
          <reference field="0" count="1" selected="0">
            <x v="6"/>
          </reference>
          <reference field="4" count="1" selected="0">
            <x v="3"/>
          </reference>
          <reference field="43" count="1" selected="0">
            <x v="0"/>
          </reference>
        </references>
      </pivotArea>
    </format>
    <format dxfId="136">
      <pivotArea outline="0" collapsedLevelsAreSubtotals="1" fieldPosition="0">
        <references count="4">
          <reference field="4294967294" count="1" selected="0">
            <x v="2"/>
          </reference>
          <reference field="0" count="1" selected="0">
            <x v="7"/>
          </reference>
          <reference field="4" count="1" selected="0">
            <x v="3"/>
          </reference>
          <reference field="43" count="1" selected="0">
            <x v="0"/>
          </reference>
        </references>
      </pivotArea>
    </format>
    <format dxfId="135">
      <pivotArea outline="0" collapsedLevelsAreSubtotals="1" fieldPosition="0">
        <references count="2">
          <reference field="4294967294" count="1" selected="0">
            <x v="6"/>
          </reference>
          <reference field="0" count="1" selected="0">
            <x v="0"/>
          </reference>
        </references>
      </pivotArea>
    </format>
    <format dxfId="134">
      <pivotArea outline="0" collapsedLevelsAreSubtotals="1" fieldPosition="0">
        <references count="2">
          <reference field="4294967294" count="1" selected="0">
            <x v="6"/>
          </reference>
          <reference field="0" count="1" selected="0">
            <x v="0"/>
          </reference>
        </references>
      </pivotArea>
    </format>
    <format dxfId="133">
      <pivotArea dataOnly="0" labelOnly="1" outline="0" fieldPosition="0">
        <references count="2">
          <reference field="4294967294" count="1">
            <x v="6"/>
          </reference>
          <reference field="0" count="1" selected="0">
            <x v="0"/>
          </reference>
        </references>
      </pivotArea>
    </format>
    <format dxfId="132">
      <pivotArea outline="0" collapsedLevelsAreSubtotals="1" fieldPosition="0">
        <references count="2">
          <reference field="4294967294" count="1" selected="0">
            <x v="6"/>
          </reference>
          <reference field="0" count="1" selected="0">
            <x v="0"/>
          </reference>
        </references>
      </pivotArea>
    </format>
    <format dxfId="131">
      <pivotArea dataOnly="0" labelOnly="1" outline="0" fieldPosition="0">
        <references count="2">
          <reference field="4294967294" count="1">
            <x v="6"/>
          </reference>
          <reference field="0" count="1" selected="0">
            <x v="0"/>
          </reference>
        </references>
      </pivotArea>
    </format>
    <format dxfId="130">
      <pivotArea field="0" dataOnly="0" labelOnly="1" grandRow="1" outline="0" axis="axisRow" fieldPosition="0">
        <references count="1">
          <reference field="4294967294" count="1" selected="0">
            <x v="0"/>
          </reference>
        </references>
      </pivotArea>
    </format>
    <format dxfId="129">
      <pivotArea field="0" dataOnly="0" labelOnly="1" grandRow="1" outline="0" axis="axisRow" fieldPosition="0">
        <references count="1">
          <reference field="4294967294" count="1" selected="0">
            <x v="1"/>
          </reference>
        </references>
      </pivotArea>
    </format>
    <format dxfId="128">
      <pivotArea field="0" dataOnly="0" labelOnly="1" grandRow="1" outline="0" axis="axisRow" fieldPosition="0">
        <references count="1">
          <reference field="4294967294" count="1" selected="0">
            <x v="2"/>
          </reference>
        </references>
      </pivotArea>
    </format>
    <format dxfId="127">
      <pivotArea field="0" dataOnly="0" labelOnly="1" grandRow="1" outline="0" axis="axisRow" fieldPosition="0">
        <references count="1">
          <reference field="4294967294" count="1" selected="0">
            <x v="3"/>
          </reference>
        </references>
      </pivotArea>
    </format>
    <format dxfId="126">
      <pivotArea field="0" dataOnly="0" labelOnly="1" grandRow="1" outline="0" axis="axisRow" fieldPosition="0">
        <references count="1">
          <reference field="4294967294" count="1" selected="0">
            <x v="4"/>
          </reference>
        </references>
      </pivotArea>
    </format>
    <format dxfId="125">
      <pivotArea field="0" dataOnly="0" labelOnly="1" grandRow="1" outline="0" axis="axisRow" fieldPosition="0">
        <references count="1">
          <reference field="4294967294" count="1" selected="0">
            <x v="5"/>
          </reference>
        </references>
      </pivotArea>
    </format>
    <format dxfId="124">
      <pivotArea field="0" dataOnly="0" labelOnly="1" grandRow="1" outline="0" axis="axisRow" fieldPosition="0">
        <references count="1">
          <reference field="4294967294" count="1" selected="0">
            <x v="6"/>
          </reference>
        </references>
      </pivotArea>
    </format>
    <format dxfId="123">
      <pivotArea outline="0" collapsedLevelsAreSubtotals="1" fieldPosition="0">
        <references count="2">
          <reference field="4294967294" count="1" selected="0">
            <x v="2"/>
          </reference>
          <reference field="0" count="1" selected="0">
            <x v="8"/>
          </reference>
        </references>
      </pivotArea>
    </format>
    <format dxfId="122">
      <pivotArea outline="0" collapsedLevelsAreSubtotals="1" fieldPosition="0">
        <references count="2">
          <reference field="4294967294" count="1" selected="0">
            <x v="2"/>
          </reference>
          <reference field="0" count="1" selected="0">
            <x v="8"/>
          </reference>
        </references>
      </pivotArea>
    </format>
    <format dxfId="121">
      <pivotArea outline="0" collapsedLevelsAreSubtotals="1" fieldPosition="0">
        <references count="4">
          <reference field="4294967294" count="1" selected="0">
            <x v="5"/>
          </reference>
          <reference field="0" count="1" selected="0">
            <x v="8"/>
          </reference>
          <reference field="4" count="1" selected="0">
            <x v="0"/>
          </reference>
          <reference field="43" count="1" selected="0">
            <x v="0"/>
          </reference>
        </references>
      </pivotArea>
    </format>
    <format dxfId="120">
      <pivotArea outline="0" collapsedLevelsAreSubtotals="1" fieldPosition="0">
        <references count="4">
          <reference field="4294967294" count="1" selected="0">
            <x v="6"/>
          </reference>
          <reference field="0" count="1" selected="0">
            <x v="8"/>
          </reference>
          <reference field="4" count="1" selected="0">
            <x v="0"/>
          </reference>
          <reference field="43" count="1" selected="0">
            <x v="0"/>
          </reference>
        </references>
      </pivotArea>
    </format>
    <format dxfId="119">
      <pivotArea outline="0" collapsedLevelsAreSubtotals="1" fieldPosition="0">
        <references count="2">
          <reference field="4294967294" count="1" selected="0">
            <x v="6"/>
          </reference>
          <reference field="0" count="1" selected="0">
            <x v="8"/>
          </reference>
        </references>
      </pivotArea>
    </format>
    <format dxfId="118">
      <pivotArea outline="0" collapsedLevelsAreSubtotals="1" fieldPosition="0">
        <references count="2">
          <reference field="4294967294" count="1" selected="0">
            <x v="6"/>
          </reference>
          <reference field="0" count="1" selected="0">
            <x v="8"/>
          </reference>
        </references>
      </pivotArea>
    </format>
    <format dxfId="117">
      <pivotArea outline="0" collapsedLevelsAreSubtotals="1" fieldPosition="0">
        <references count="2">
          <reference field="4294967294" count="1" selected="0">
            <x v="2"/>
          </reference>
          <reference field="0" count="1" selected="0">
            <x v="0"/>
          </reference>
        </references>
      </pivotArea>
    </format>
    <format dxfId="116">
      <pivotArea outline="0" collapsedLevelsAreSubtotals="1" fieldPosition="0">
        <references count="2">
          <reference field="4294967294" count="1" selected="0">
            <x v="6"/>
          </reference>
          <reference field="0" count="1" selected="0">
            <x v="0"/>
          </reference>
        </references>
      </pivotArea>
    </format>
    <format dxfId="115">
      <pivotArea outline="0" collapsedLevelsAreSubtotals="1" fieldPosition="0">
        <references count="2">
          <reference field="4294967294" count="1" selected="0">
            <x v="6"/>
          </reference>
          <reference field="0" count="1" selected="0">
            <x v="1"/>
          </reference>
        </references>
      </pivotArea>
    </format>
    <format dxfId="114">
      <pivotArea outline="0" collapsedLevelsAreSubtotals="1" fieldPosition="0">
        <references count="4">
          <reference field="4294967294" count="1" selected="0">
            <x v="6"/>
          </reference>
          <reference field="0" count="1" selected="0">
            <x v="2"/>
          </reference>
          <reference field="4" count="1" selected="0">
            <x v="0"/>
          </reference>
          <reference field="43" count="1" selected="0">
            <x v="0"/>
          </reference>
        </references>
      </pivotArea>
    </format>
    <format dxfId="113">
      <pivotArea outline="0" collapsedLevelsAreSubtotals="1" fieldPosition="0">
        <references count="4">
          <reference field="4294967294" count="1" selected="0">
            <x v="6"/>
          </reference>
          <reference field="0" count="1" selected="0">
            <x v="3"/>
          </reference>
          <reference field="4" count="1" selected="0">
            <x v="0"/>
          </reference>
          <reference field="43" count="1" selected="0">
            <x v="0"/>
          </reference>
        </references>
      </pivotArea>
    </format>
    <format dxfId="112">
      <pivotArea outline="0" collapsedLevelsAreSubtotals="1" fieldPosition="0">
        <references count="4">
          <reference field="4294967294" count="1" selected="0">
            <x v="6"/>
          </reference>
          <reference field="0" count="1" selected="0">
            <x v="4"/>
          </reference>
          <reference field="4" count="1" selected="0">
            <x v="0"/>
          </reference>
          <reference field="43" count="1" selected="0">
            <x v="0"/>
          </reference>
        </references>
      </pivotArea>
    </format>
    <format dxfId="111">
      <pivotArea outline="0" collapsedLevelsAreSubtotals="1" fieldPosition="0">
        <references count="4">
          <reference field="4294967294" count="1" selected="0">
            <x v="6"/>
          </reference>
          <reference field="0" count="1" selected="0">
            <x v="5"/>
          </reference>
          <reference field="4" count="1" selected="0">
            <x v="0"/>
          </reference>
          <reference field="43" count="1" selected="0">
            <x v="0"/>
          </reference>
        </references>
      </pivotArea>
    </format>
    <format dxfId="110">
      <pivotArea outline="0" collapsedLevelsAreSubtotals="1" fieldPosition="0">
        <references count="4">
          <reference field="4294967294" count="1" selected="0">
            <x v="6"/>
          </reference>
          <reference field="0" count="1" selected="0">
            <x v="6"/>
          </reference>
          <reference field="4" count="1" selected="0">
            <x v="0"/>
          </reference>
          <reference field="43" count="1" selected="0">
            <x v="0"/>
          </reference>
        </references>
      </pivotArea>
    </format>
    <format dxfId="109">
      <pivotArea outline="0" collapsedLevelsAreSubtotals="1" fieldPosition="0">
        <references count="4">
          <reference field="4294967294" count="1" selected="0">
            <x v="6"/>
          </reference>
          <reference field="0" count="1" selected="0">
            <x v="7"/>
          </reference>
          <reference field="4" count="1" selected="0">
            <x v="0"/>
          </reference>
          <reference field="43" count="1" selected="0">
            <x v="0"/>
          </reference>
        </references>
      </pivotArea>
    </format>
    <format dxfId="108">
      <pivotArea outline="0" collapsedLevelsAreSubtotals="1" fieldPosition="0">
        <references count="4">
          <reference field="4294967294" count="1" selected="0">
            <x v="6"/>
          </reference>
          <reference field="0" count="1" selected="0">
            <x v="8"/>
          </reference>
          <reference field="4" count="1" selected="0">
            <x v="0"/>
          </reference>
          <reference field="43" count="1" selected="0">
            <x v="0"/>
          </reference>
        </references>
      </pivotArea>
    </format>
    <format dxfId="107">
      <pivotArea outline="0" collapsedLevelsAreSubtotals="1" fieldPosition="0">
        <references count="4">
          <reference field="4294967294" count="1" selected="0">
            <x v="6"/>
          </reference>
          <reference field="0" count="1" selected="0">
            <x v="10"/>
          </reference>
          <reference field="4" count="1" selected="0">
            <x v="0"/>
          </reference>
          <reference field="43" count="1" selected="0">
            <x v="0"/>
          </reference>
        </references>
      </pivotArea>
    </format>
    <format dxfId="106">
      <pivotArea outline="0" collapsedLevelsAreSubtotals="1" fieldPosition="0">
        <references count="4">
          <reference field="4294967294" count="1" selected="0">
            <x v="6"/>
          </reference>
          <reference field="0" count="1" selected="0">
            <x v="11"/>
          </reference>
          <reference field="4" count="1" selected="0">
            <x v="0"/>
          </reference>
          <reference field="43" count="1" selected="0">
            <x v="0"/>
          </reference>
        </references>
      </pivotArea>
    </format>
    <format dxfId="105">
      <pivotArea outline="0" collapsedLevelsAreSubtotals="1" fieldPosition="0">
        <references count="4">
          <reference field="4294967294" count="1" selected="0">
            <x v="6"/>
          </reference>
          <reference field="0" count="1" selected="0">
            <x v="12"/>
          </reference>
          <reference field="4" count="1" selected="0">
            <x v="0"/>
          </reference>
          <reference field="43" count="1" selected="0">
            <x v="0"/>
          </reference>
        </references>
      </pivotArea>
    </format>
    <format dxfId="104">
      <pivotArea outline="0" collapsedLevelsAreSubtotals="1" fieldPosition="0">
        <references count="4">
          <reference field="4294967294" count="1" selected="0">
            <x v="6"/>
          </reference>
          <reference field="0" count="1" selected="0">
            <x v="13"/>
          </reference>
          <reference field="4" count="1" selected="0">
            <x v="0"/>
          </reference>
          <reference field="43" count="1" selected="0">
            <x v="0"/>
          </reference>
        </references>
      </pivotArea>
    </format>
    <format dxfId="103">
      <pivotArea outline="0" collapsedLevelsAreSubtotals="1" fieldPosition="0">
        <references count="4">
          <reference field="4294967294" count="1" selected="0">
            <x v="6"/>
          </reference>
          <reference field="0" count="1" selected="0">
            <x v="14"/>
          </reference>
          <reference field="4" count="1" selected="0">
            <x v="0"/>
          </reference>
          <reference field="43" count="1" selected="0">
            <x v="0"/>
          </reference>
        </references>
      </pivotArea>
    </format>
    <format dxfId="102">
      <pivotArea outline="0" collapsedLevelsAreSubtotals="1" fieldPosition="0">
        <references count="4">
          <reference field="4294967294" count="1" selected="0">
            <x v="6"/>
          </reference>
          <reference field="0" count="1" selected="0">
            <x v="15"/>
          </reference>
          <reference field="4" count="1" selected="0">
            <x v="0"/>
          </reference>
          <reference field="43" count="1" selected="0">
            <x v="0"/>
          </reference>
        </references>
      </pivotArea>
    </format>
    <format dxfId="101">
      <pivotArea field="43" grandRow="1" outline="0" collapsedLevelsAreSubtotals="1" axis="axisCol" fieldPosition="0">
        <references count="3">
          <reference field="4294967294" count="1" selected="0">
            <x v="6"/>
          </reference>
          <reference field="4" count="1" selected="0">
            <x v="0"/>
          </reference>
          <reference field="43" count="1" selected="0">
            <x v="0"/>
          </reference>
        </references>
      </pivotArea>
    </format>
    <format dxfId="100">
      <pivotArea field="43" grandRow="1" outline="0" collapsedLevelsAreSubtotals="1" axis="axisCol" fieldPosition="0">
        <references count="3">
          <reference field="4294967294" count="1" selected="0">
            <x v="6"/>
          </reference>
          <reference field="4" count="5" selected="0">
            <x v="1"/>
            <x v="2"/>
            <x v="3"/>
            <x v="4"/>
            <x v="5"/>
          </reference>
          <reference field="43" count="1" selected="0">
            <x v="0"/>
          </reference>
        </references>
      </pivotArea>
    </format>
    <format dxfId="99">
      <pivotArea field="43" grandRow="1" outline="0" collapsedLevelsAreSubtotals="1" axis="axisCol" fieldPosition="0">
        <references count="2">
          <reference field="4294967294" count="1" selected="0">
            <x v="6"/>
          </reference>
          <reference field="43" count="1" selected="0" defaultSubtotal="1">
            <x v="0"/>
          </reference>
        </references>
      </pivotArea>
    </format>
    <format dxfId="98">
      <pivotArea field="43" grandRow="1" outline="0" collapsedLevelsAreSubtotals="1" axis="axisCol" fieldPosition="0">
        <references count="2">
          <reference field="4294967294" count="1" selected="0">
            <x v="6"/>
          </reference>
          <reference field="43" count="3" selected="0" defaultSubtotal="1">
            <x v="1"/>
            <x v="4"/>
            <x v="5"/>
          </reference>
        </references>
      </pivotArea>
    </format>
    <format dxfId="97">
      <pivotArea field="0" dataOnly="0" labelOnly="1" grandRow="1" outline="0" axis="axisRow" fieldPosition="0">
        <references count="1">
          <reference field="4294967294" count="1" selected="0">
            <x v="0"/>
          </reference>
        </references>
      </pivotArea>
    </format>
    <format dxfId="96">
      <pivotArea field="0" dataOnly="0" labelOnly="1" grandRow="1" outline="0" axis="axisRow" fieldPosition="0">
        <references count="1">
          <reference field="4294967294" count="1" selected="0">
            <x v="1"/>
          </reference>
        </references>
      </pivotArea>
    </format>
    <format dxfId="95">
      <pivotArea field="0" dataOnly="0" labelOnly="1" grandRow="1" outline="0" axis="axisRow" fieldPosition="0">
        <references count="1">
          <reference field="4294967294" count="1" selected="0">
            <x v="2"/>
          </reference>
        </references>
      </pivotArea>
    </format>
    <format dxfId="94">
      <pivotArea field="0" dataOnly="0" labelOnly="1" grandRow="1" outline="0" axis="axisRow" fieldPosition="0">
        <references count="1">
          <reference field="4294967294" count="1" selected="0">
            <x v="3"/>
          </reference>
        </references>
      </pivotArea>
    </format>
    <format dxfId="93">
      <pivotArea field="0" dataOnly="0" labelOnly="1" grandRow="1" outline="0" axis="axisRow" fieldPosition="0">
        <references count="1">
          <reference field="4294967294" count="1" selected="0">
            <x v="4"/>
          </reference>
        </references>
      </pivotArea>
    </format>
    <format dxfId="92">
      <pivotArea field="0" dataOnly="0" labelOnly="1" grandRow="1" outline="0" axis="axisRow" fieldPosition="0">
        <references count="1">
          <reference field="4294967294" count="1" selected="0">
            <x v="5"/>
          </reference>
        </references>
      </pivotArea>
    </format>
    <format dxfId="91">
      <pivotArea field="0" dataOnly="0" labelOnly="1" grandRow="1" outline="0" axis="axisRow" fieldPosition="0">
        <references count="1">
          <reference field="4294967294" count="1" selected="0">
            <x v="6"/>
          </reference>
        </references>
      </pivotArea>
    </format>
    <format dxfId="90">
      <pivotArea outline="0" collapsedLevelsAreSubtotals="1" fieldPosition="0">
        <references count="2">
          <reference field="4294967294" count="1" selected="0">
            <x v="6"/>
          </reference>
          <reference field="0" count="1" selected="0">
            <x v="9"/>
          </reference>
        </references>
      </pivotArea>
    </format>
    <format dxfId="89">
      <pivotArea field="43" grandRow="1" outline="0" collapsedLevelsAreSubtotals="1" axis="axisCol" fieldPosition="0">
        <references count="3">
          <reference field="4294967294" count="1" selected="0">
            <x v="6"/>
          </reference>
          <reference field="4" count="2" selected="0">
            <x v="13"/>
            <x v="14"/>
          </reference>
          <reference field="43" count="1" selected="0">
            <x v="4"/>
          </reference>
        </references>
      </pivotArea>
    </format>
    <format dxfId="88">
      <pivotArea field="43" grandRow="1" outline="0" collapsedLevelsAreSubtotals="1" axis="axisCol" fieldPosition="0">
        <references count="2">
          <reference field="4294967294" count="1" selected="0">
            <x v="6"/>
          </reference>
          <reference field="43" count="1" selected="0" defaultSubtotal="1">
            <x v="4"/>
          </reference>
        </references>
      </pivotArea>
    </format>
    <format dxfId="87">
      <pivotArea field="43" grandRow="1" outline="0" collapsedLevelsAreSubtotals="1" axis="axisCol" fieldPosition="0">
        <references count="2">
          <reference field="4294967294" count="1" selected="0">
            <x v="6"/>
          </reference>
          <reference field="43" count="3" selected="0" defaultSubtotal="1">
            <x v="5"/>
            <x v="6"/>
            <x v="7"/>
          </reference>
        </references>
      </pivotArea>
    </format>
    <format dxfId="86">
      <pivotArea field="43" grandRow="1" outline="0" collapsedLevelsAreSubtotals="1" axis="axisCol" fieldPosition="0">
        <references count="2">
          <reference field="4294967294" count="1" selected="0">
            <x v="6"/>
          </reference>
          <reference field="43" count="2" selected="0" defaultSubtotal="1">
            <x v="0"/>
            <x v="1"/>
          </reference>
        </references>
      </pivotArea>
    </format>
    <format dxfId="85">
      <pivotArea field="43" grandRow="1" outline="0" collapsedLevelsAreSubtotals="1" axis="axisCol" fieldPosition="0">
        <references count="3">
          <reference field="4294967294" count="1" selected="0">
            <x v="6"/>
          </reference>
          <reference field="4" count="1" selected="0">
            <x v="12"/>
          </reference>
          <reference field="43" count="1" selected="0">
            <x v="4"/>
          </reference>
        </references>
      </pivotArea>
    </format>
    <format dxfId="84">
      <pivotArea outline="0" collapsedLevelsAreSubtotals="1" fieldPosition="0">
        <references count="4">
          <reference field="4294967294" count="1" selected="0">
            <x v="6"/>
          </reference>
          <reference field="0" count="1" selected="0">
            <x v="5"/>
          </reference>
          <reference field="4" count="1" selected="0">
            <x v="12"/>
          </reference>
          <reference field="43" count="1" selected="0">
            <x v="4"/>
          </reference>
        </references>
      </pivotArea>
    </format>
    <format dxfId="83">
      <pivotArea outline="0" collapsedLevelsAreSubtotals="1" fieldPosition="0">
        <references count="4">
          <reference field="4294967294" count="1" selected="0">
            <x v="6"/>
          </reference>
          <reference field="0" count="1" selected="0">
            <x v="5"/>
          </reference>
          <reference field="4" count="1" selected="0">
            <x v="12"/>
          </reference>
          <reference field="43" count="1" selected="0">
            <x v="4"/>
          </reference>
        </references>
      </pivotArea>
    </format>
    <format dxfId="82">
      <pivotArea outline="0" collapsedLevelsAreSubtotals="1" fieldPosition="0">
        <references count="4">
          <reference field="4294967294" count="1" selected="0">
            <x v="6"/>
          </reference>
          <reference field="0" count="1" selected="0">
            <x v="6"/>
          </reference>
          <reference field="4" count="1" selected="0">
            <x v="6"/>
          </reference>
          <reference field="43" count="1" selected="0">
            <x v="1"/>
          </reference>
        </references>
      </pivotArea>
    </format>
    <format dxfId="81">
      <pivotArea outline="0" collapsedLevelsAreSubtotals="1" fieldPosition="0">
        <references count="4">
          <reference field="4294967294" count="1" selected="0">
            <x v="6"/>
          </reference>
          <reference field="0" count="1" selected="0">
            <x v="6"/>
          </reference>
          <reference field="4" count="1" selected="0">
            <x v="14"/>
          </reference>
          <reference field="43" count="1" selected="0">
            <x v="4"/>
          </reference>
        </references>
      </pivotArea>
    </format>
    <format dxfId="80">
      <pivotArea outline="0" collapsedLevelsAreSubtotals="1" fieldPosition="0">
        <references count="4">
          <reference field="4294967294" count="1" selected="0">
            <x v="6"/>
          </reference>
          <reference field="0" count="1" selected="0">
            <x v="14"/>
          </reference>
          <reference field="4" count="1" selected="0">
            <x v="8"/>
          </reference>
          <reference field="43" count="1" selected="0">
            <x v="1"/>
          </reference>
        </references>
      </pivotArea>
    </format>
    <format dxfId="79">
      <pivotArea outline="0" collapsedLevelsAreSubtotals="1" fieldPosition="0">
        <references count="4">
          <reference field="4294967294" count="1" selected="0">
            <x v="6"/>
          </reference>
          <reference field="0" count="1" selected="0">
            <x v="14"/>
          </reference>
          <reference field="4" count="1" selected="0">
            <x v="9"/>
          </reference>
          <reference field="43" count="1" selected="0">
            <x v="1"/>
          </reference>
        </references>
      </pivotArea>
    </format>
    <format dxfId="78">
      <pivotArea outline="0" collapsedLevelsAreSubtotals="1" fieldPosition="0">
        <references count="4">
          <reference field="4294967294" count="1" selected="0">
            <x v="6"/>
          </reference>
          <reference field="0" count="1" selected="0">
            <x v="1"/>
          </reference>
          <reference field="4" count="1" selected="0">
            <x v="2"/>
          </reference>
          <reference field="43" count="1" selected="0">
            <x v="0"/>
          </reference>
        </references>
      </pivotArea>
    </format>
    <format dxfId="77">
      <pivotArea outline="0" collapsedLevelsAreSubtotals="1" fieldPosition="0">
        <references count="2">
          <reference field="4294967294" count="1" selected="0">
            <x v="6"/>
          </reference>
          <reference field="0" count="1" selected="0">
            <x v="0"/>
          </reference>
        </references>
      </pivotArea>
    </format>
    <format dxfId="76">
      <pivotArea outline="0" collapsedLevelsAreSubtotals="1" fieldPosition="0">
        <references count="4">
          <reference field="4294967294" count="1" selected="0">
            <x v="6"/>
          </reference>
          <reference field="0" count="1" selected="0">
            <x v="6"/>
          </reference>
          <reference field="4" count="4" selected="0">
            <x v="6"/>
            <x v="7"/>
            <x v="8"/>
            <x v="9"/>
          </reference>
          <reference field="43" count="1" selected="0">
            <x v="1"/>
          </reference>
        </references>
      </pivotArea>
    </format>
    <format dxfId="75">
      <pivotArea outline="0" collapsedLevelsAreSubtotals="1" fieldPosition="0">
        <references count="3">
          <reference field="4294967294" count="4" selected="0">
            <x v="3"/>
            <x v="4"/>
            <x v="5"/>
            <x v="6"/>
          </reference>
          <reference field="0" count="1" selected="0">
            <x v="6"/>
          </reference>
          <reference field="43" count="2" selected="0" defaultSubtotal="1">
            <x v="0"/>
            <x v="1"/>
          </reference>
        </references>
      </pivotArea>
    </format>
    <format dxfId="74">
      <pivotArea outline="0" collapsedLevelsAreSubtotals="1" fieldPosition="0">
        <references count="4">
          <reference field="4294967294" count="4" selected="0">
            <x v="3"/>
            <x v="4"/>
            <x v="5"/>
            <x v="6"/>
          </reference>
          <reference field="0" count="1" selected="0">
            <x v="6"/>
          </reference>
          <reference field="4" count="3" selected="0">
            <x v="12"/>
            <x v="13"/>
            <x v="14"/>
          </reference>
          <reference field="43" count="1" selected="0">
            <x v="4"/>
          </reference>
        </references>
      </pivotArea>
    </format>
    <format dxfId="73">
      <pivotArea outline="0" collapsedLevelsAreSubtotals="1" fieldPosition="0">
        <references count="4">
          <reference field="4294967294" count="1" selected="0">
            <x v="5"/>
          </reference>
          <reference field="0" count="1" selected="0">
            <x v="0"/>
          </reference>
          <reference field="4" count="1" selected="0">
            <x v="0"/>
          </reference>
          <reference field="43" count="1" selected="0">
            <x v="0"/>
          </reference>
        </references>
      </pivotArea>
    </format>
    <format dxfId="72">
      <pivotArea outline="0" collapsedLevelsAreSubtotals="1" fieldPosition="0">
        <references count="1">
          <reference field="43" count="3" selected="0" defaultSubtotal="1">
            <x v="6"/>
            <x v="7"/>
            <x v="8"/>
          </reference>
        </references>
      </pivotArea>
    </format>
    <format dxfId="71">
      <pivotArea outline="0" collapsedLevelsAreSubtotals="1" fieldPosition="0">
        <references count="1">
          <reference field="43" count="3" selected="0" defaultSubtotal="1">
            <x v="6"/>
            <x v="7"/>
            <x v="8"/>
          </reference>
        </references>
      </pivotArea>
    </format>
    <format dxfId="70">
      <pivotArea outline="0" collapsedLevelsAreSubtotals="1" fieldPosition="0">
        <references count="1">
          <reference field="43" count="3" selected="0" defaultSubtotal="1">
            <x v="6"/>
            <x v="7"/>
            <x v="8"/>
          </reference>
        </references>
      </pivotArea>
    </format>
    <format dxfId="69">
      <pivotArea outline="0" collapsedLevelsAreSubtotals="1" fieldPosition="0">
        <references count="1">
          <reference field="43" count="3" selected="0" defaultSubtotal="1">
            <x v="6"/>
            <x v="7"/>
            <x v="8"/>
          </reference>
        </references>
      </pivotArea>
    </format>
    <format dxfId="68">
      <pivotArea outline="0" collapsedLevelsAreSubtotals="1" fieldPosition="0">
        <references count="1">
          <reference field="43" count="2" selected="0" defaultSubtotal="1">
            <x v="6"/>
            <x v="7"/>
          </reference>
        </references>
      </pivotArea>
    </format>
    <format dxfId="67">
      <pivotArea outline="0" collapsedLevelsAreSubtotals="1" fieldPosition="0">
        <references count="1">
          <reference field="43" count="3" selected="0" defaultSubtotal="1">
            <x v="6"/>
            <x v="7"/>
            <x v="8"/>
          </reference>
        </references>
      </pivotArea>
    </format>
    <format dxfId="66">
      <pivotArea dataOnly="0" labelOnly="1" outline="0" fieldPosition="0">
        <references count="1">
          <reference field="43" count="3">
            <x v="6"/>
            <x v="7"/>
            <x v="8"/>
          </reference>
        </references>
      </pivotArea>
    </format>
    <format dxfId="65">
      <pivotArea dataOnly="0" labelOnly="1" outline="0" fieldPosition="0">
        <references count="1">
          <reference field="43" count="3" defaultSubtotal="1">
            <x v="6"/>
            <x v="7"/>
            <x v="8"/>
          </reference>
        </references>
      </pivotArea>
    </format>
    <format dxfId="64">
      <pivotArea dataOnly="0" labelOnly="1" outline="0" fieldPosition="0">
        <references count="2">
          <reference field="4" count="1">
            <x v="16"/>
          </reference>
          <reference field="43" count="1" selected="0">
            <x v="6"/>
          </reference>
        </references>
      </pivotArea>
    </format>
    <format dxfId="63">
      <pivotArea dataOnly="0" labelOnly="1" outline="0" fieldPosition="0">
        <references count="2">
          <reference field="4" count="1">
            <x v="17"/>
          </reference>
          <reference field="43" count="1" selected="0">
            <x v="7"/>
          </reference>
        </references>
      </pivotArea>
    </format>
    <format dxfId="62">
      <pivotArea dataOnly="0" labelOnly="1" outline="0" fieldPosition="0">
        <references count="2">
          <reference field="4" count="1">
            <x v="18"/>
          </reference>
          <reference field="43" count="1" selected="0">
            <x v="8"/>
          </reference>
        </references>
      </pivotArea>
    </format>
    <format dxfId="61">
      <pivotArea outline="0" collapsedLevelsAreSubtotals="1" fieldPosition="0">
        <references count="1">
          <reference field="43" count="3" selected="0" defaultSubtotal="1">
            <x v="0"/>
            <x v="1"/>
            <x v="4"/>
          </reference>
        </references>
      </pivotArea>
    </format>
    <format dxfId="60">
      <pivotArea field="43" type="button" dataOnly="0" labelOnly="1" outline="0" axis="axisCol" fieldPosition="0"/>
    </format>
    <format dxfId="59">
      <pivotArea field="4" type="button" dataOnly="0" labelOnly="1" outline="0" axis="axisCol" fieldPosition="1"/>
    </format>
    <format dxfId="58">
      <pivotArea type="topRight" dataOnly="0" labelOnly="1" outline="0" fieldPosition="0"/>
    </format>
    <format dxfId="57">
      <pivotArea dataOnly="0" labelOnly="1" outline="0" fieldPosition="0">
        <references count="1">
          <reference field="43" count="3">
            <x v="0"/>
            <x v="1"/>
            <x v="4"/>
          </reference>
        </references>
      </pivotArea>
    </format>
    <format dxfId="56">
      <pivotArea dataOnly="0" labelOnly="1" outline="0" fieldPosition="0">
        <references count="1">
          <reference field="43" count="3" defaultSubtotal="1">
            <x v="0"/>
            <x v="1"/>
            <x v="4"/>
          </reference>
        </references>
      </pivotArea>
    </format>
    <format dxfId="55">
      <pivotArea dataOnly="0" labelOnly="1" outline="0" fieldPosition="0">
        <references count="2">
          <reference field="4" count="6">
            <x v="0"/>
            <x v="1"/>
            <x v="2"/>
            <x v="3"/>
            <x v="4"/>
            <x v="5"/>
          </reference>
          <reference field="43" count="1" selected="0">
            <x v="0"/>
          </reference>
        </references>
      </pivotArea>
    </format>
    <format dxfId="54">
      <pivotArea dataOnly="0" labelOnly="1" outline="0" fieldPosition="0">
        <references count="2">
          <reference field="4" count="4">
            <x v="6"/>
            <x v="7"/>
            <x v="8"/>
            <x v="9"/>
          </reference>
          <reference field="43" count="1" selected="0">
            <x v="1"/>
          </reference>
        </references>
      </pivotArea>
    </format>
    <format dxfId="53">
      <pivotArea dataOnly="0" labelOnly="1" outline="0" fieldPosition="0">
        <references count="2">
          <reference field="4" count="2">
            <x v="12"/>
            <x v="13"/>
          </reference>
          <reference field="43" count="1" selected="0">
            <x v="4"/>
          </reference>
        </references>
      </pivotArea>
    </format>
    <format dxfId="52">
      <pivotArea outline="0" collapsedLevelsAreSubtotals="1" fieldPosition="0">
        <references count="3">
          <reference field="4294967294" count="1" selected="0">
            <x v="2"/>
          </reference>
          <reference field="0" count="1" selected="0">
            <x v="0"/>
          </reference>
          <reference field="43" count="3" selected="0" defaultSubtotal="1">
            <x v="0"/>
            <x v="1"/>
            <x v="4"/>
          </reference>
        </references>
      </pivotArea>
    </format>
    <format dxfId="51">
      <pivotArea outline="0" collapsedLevelsAreSubtotals="1" fieldPosition="0">
        <references count="3">
          <reference field="4294967294" count="1" selected="0">
            <x v="6"/>
          </reference>
          <reference field="0" count="1" selected="0">
            <x v="0"/>
          </reference>
          <reference field="43" count="3" selected="0" defaultSubtotal="1">
            <x v="0"/>
            <x v="1"/>
            <x v="4"/>
          </reference>
        </references>
      </pivotArea>
    </format>
    <format dxfId="50">
      <pivotArea field="0" grandRow="1" outline="0" collapsedLevelsAreSubtotals="1" axis="axisRow" fieldPosition="0">
        <references count="1">
          <reference field="4294967294" count="1" selected="0">
            <x v="6"/>
          </reference>
        </references>
      </pivotArea>
    </format>
    <format dxfId="49">
      <pivotArea field="0" dataOnly="0" labelOnly="1" grandRow="1" outline="0" offset="IV256" axis="axisRow" fieldPosition="0">
        <references count="1">
          <reference field="4294967294" count="1" selected="0">
            <x v="0"/>
          </reference>
        </references>
      </pivotArea>
    </format>
    <format dxfId="48">
      <pivotArea field="0" dataOnly="0" labelOnly="1" grandRow="1" outline="0" offset="IV256" axis="axisRow" fieldPosition="0">
        <references count="1">
          <reference field="4294967294" count="1" selected="0">
            <x v="1"/>
          </reference>
        </references>
      </pivotArea>
    </format>
    <format dxfId="47">
      <pivotArea field="0" dataOnly="0" labelOnly="1" grandRow="1" outline="0" offset="IV256" axis="axisRow" fieldPosition="0">
        <references count="1">
          <reference field="4294967294" count="1" selected="0">
            <x v="2"/>
          </reference>
        </references>
      </pivotArea>
    </format>
    <format dxfId="46">
      <pivotArea field="0" dataOnly="0" labelOnly="1" grandRow="1" outline="0" offset="IV256" axis="axisRow" fieldPosition="0">
        <references count="1">
          <reference field="4294967294" count="1" selected="0">
            <x v="3"/>
          </reference>
        </references>
      </pivotArea>
    </format>
    <format dxfId="45">
      <pivotArea field="0" dataOnly="0" labelOnly="1" grandRow="1" outline="0" offset="IV256" axis="axisRow" fieldPosition="0">
        <references count="1">
          <reference field="4294967294" count="1" selected="0">
            <x v="4"/>
          </reference>
        </references>
      </pivotArea>
    </format>
    <format dxfId="44">
      <pivotArea field="0" dataOnly="0" labelOnly="1" grandRow="1" outline="0" offset="IV256" axis="axisRow" fieldPosition="0">
        <references count="1">
          <reference field="4294967294" count="1" selected="0">
            <x v="5"/>
          </reference>
        </references>
      </pivotArea>
    </format>
    <format dxfId="43">
      <pivotArea field="0" dataOnly="0" labelOnly="1" grandRow="1" outline="0" offset="IV256" axis="axisRow" fieldPosition="0">
        <references count="1">
          <reference field="4294967294" count="1" selected="0">
            <x v="6"/>
          </reference>
        </references>
      </pivotArea>
    </format>
    <format dxfId="42">
      <pivotArea outline="0" collapsedLevelsAreSubtotals="1" fieldPosition="0">
        <references count="4">
          <reference field="4294967294" count="1" selected="0">
            <x v="6"/>
          </reference>
          <reference field="0" count="1" selected="0">
            <x v="14"/>
          </reference>
          <reference field="4" count="1" selected="0">
            <x v="8"/>
          </reference>
          <reference field="43" count="1" selected="0">
            <x v="1"/>
          </reference>
        </references>
      </pivotArea>
    </format>
    <format dxfId="41">
      <pivotArea outline="0" collapsedLevelsAreSubtotals="1" fieldPosition="0">
        <references count="4">
          <reference field="4294967294" count="1" selected="0">
            <x v="6"/>
          </reference>
          <reference field="0" count="1" selected="0">
            <x v="14"/>
          </reference>
          <reference field="4" count="1" selected="0">
            <x v="9"/>
          </reference>
          <reference field="43" count="1" selected="0">
            <x v="1"/>
          </reference>
        </references>
      </pivotArea>
    </format>
    <format dxfId="40">
      <pivotArea field="43" grandRow="1" outline="0" collapsedLevelsAreSubtotals="1" axis="axisCol" fieldPosition="0">
        <references count="2">
          <reference field="4294967294" count="7" selected="0">
            <x v="0"/>
            <x v="1"/>
            <x v="2"/>
            <x v="3"/>
            <x v="4"/>
            <x v="5"/>
            <x v="6"/>
          </reference>
          <reference field="43" count="3" selected="0" defaultSubtotal="1">
            <x v="0"/>
            <x v="1"/>
            <x v="4"/>
          </reference>
        </references>
      </pivotArea>
    </format>
    <format dxfId="39">
      <pivotArea field="0" dataOnly="0" labelOnly="1" grandRow="1" outline="0" axis="axisRow" fieldPosition="0">
        <references count="1">
          <reference field="4294967294" count="1" selected="0">
            <x v="0"/>
          </reference>
        </references>
      </pivotArea>
    </format>
    <format dxfId="38">
      <pivotArea field="0" dataOnly="0" labelOnly="1" grandRow="1" outline="0" axis="axisRow" fieldPosition="0">
        <references count="1">
          <reference field="4294967294" count="1" selected="0">
            <x v="1"/>
          </reference>
        </references>
      </pivotArea>
    </format>
    <format dxfId="37">
      <pivotArea field="0" dataOnly="0" labelOnly="1" grandRow="1" outline="0" axis="axisRow" fieldPosition="0">
        <references count="1">
          <reference field="4294967294" count="1" selected="0">
            <x v="2"/>
          </reference>
        </references>
      </pivotArea>
    </format>
    <format dxfId="36">
      <pivotArea field="0" dataOnly="0" labelOnly="1" grandRow="1" outline="0" axis="axisRow" fieldPosition="0">
        <references count="1">
          <reference field="4294967294" count="1" selected="0">
            <x v="3"/>
          </reference>
        </references>
      </pivotArea>
    </format>
    <format dxfId="35">
      <pivotArea field="0" dataOnly="0" labelOnly="1" grandRow="1" outline="0" axis="axisRow" fieldPosition="0">
        <references count="1">
          <reference field="4294967294" count="1" selected="0">
            <x v="4"/>
          </reference>
        </references>
      </pivotArea>
    </format>
    <format dxfId="34">
      <pivotArea field="0" dataOnly="0" labelOnly="1" grandRow="1" outline="0" axis="axisRow" fieldPosition="0">
        <references count="1">
          <reference field="4294967294" count="1" selected="0">
            <x v="5"/>
          </reference>
        </references>
      </pivotArea>
    </format>
    <format dxfId="33">
      <pivotArea field="0" dataOnly="0" labelOnly="1" grandRow="1" outline="0" axis="axisRow" fieldPosition="0">
        <references count="1">
          <reference field="4294967294" count="1" selected="0">
            <x v="6"/>
          </reference>
        </references>
      </pivotArea>
    </format>
    <format dxfId="32">
      <pivotArea outline="0" collapsedLevelsAreSubtotals="1" fieldPosition="0">
        <references count="3">
          <reference field="4294967294" count="1" selected="0">
            <x v="2"/>
          </reference>
          <reference field="0" count="1" selected="0">
            <x v="7"/>
          </reference>
          <reference field="43" count="1" selected="0" defaultSubtotal="1">
            <x v="1"/>
          </reference>
        </references>
      </pivotArea>
    </format>
  </formats>
  <pivotTableStyleInfo showRowHeaders="1" showColHeaders="1" showRowStripes="0" showColStripes="0" showLastColumn="1"/>
</pivotTableDefinition>
</file>

<file path=xl/queryTables/queryTable1.xml><?xml version="1.0" encoding="utf-8"?>
<queryTable xmlns="http://schemas.openxmlformats.org/spreadsheetml/2006/main" name="Dual07_2" connectionId="5"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JrCH08ug2_1" connectionId="9"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Dual07" connectionId="5"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CH11ug1" connectionId="1"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JrCH08ug1_1" connectionId="8"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SrSCH08gr4_1" connectionId="18"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SrSCH08gr3_1" connectionId="17"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JrSCH08ug4_1" connectionId="15"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JrSCH08ug1_1" connectionId="12" autoFormatId="16" applyNumberFormats="0" applyBorderFormats="0" applyFontFormats="1" applyPatternFormats="1" applyAlignmentFormats="0" applyWidthHeightFormats="0"/>
</file>

<file path=xl/queryTables/queryTable10.xml><?xml version="1.0" encoding="utf-8"?>
<queryTable xmlns="http://schemas.openxmlformats.org/spreadsheetml/2006/main" name="Dual11_1" connectionId="7" autoFormatId="16" applyNumberFormats="0" applyBorderFormats="0" applyFontFormats="1" applyPatternFormats="1" applyAlignmentFormats="0" applyWidthHeightFormats="0"/>
</file>

<file path=xl/queryTables/queryTable11.xml><?xml version="1.0" encoding="utf-8"?>
<queryTable xmlns="http://schemas.openxmlformats.org/spreadsheetml/2006/main" name="SrSCH08ug4_1" connectionId="21" autoFormatId="16" applyNumberFormats="0" applyBorderFormats="0" applyFontFormats="1" applyPatternFormats="1" applyAlignmentFormats="0" applyWidthHeightFormats="0"/>
</file>

<file path=xl/queryTables/queryTable12.xml><?xml version="1.0" encoding="utf-8"?>
<queryTable xmlns="http://schemas.openxmlformats.org/spreadsheetml/2006/main" name="CH11ug4_1" connectionId="4" autoFormatId="16" applyNumberFormats="0" applyBorderFormats="0" applyFontFormats="1" applyPatternFormats="1" applyAlignmentFormats="0" applyWidthHeightFormats="0"/>
</file>

<file path=xl/queryTables/queryTable13.xml><?xml version="1.0" encoding="utf-8"?>
<queryTable xmlns="http://schemas.openxmlformats.org/spreadsheetml/2006/main" name="Dual07_1" connectionId="5" autoFormatId="16" applyNumberFormats="0" applyBorderFormats="0" applyFontFormats="1" applyPatternFormats="1" applyAlignmentFormats="0" applyWidthHeightFormats="0"/>
</file>

<file path=xl/queryTables/queryTable14.xml><?xml version="1.0" encoding="utf-8"?>
<queryTable xmlns="http://schemas.openxmlformats.org/spreadsheetml/2006/main" name="SrSCH08ug3_1" connectionId="20" autoFormatId="16" applyNumberFormats="0" applyBorderFormats="0" applyFontFormats="1" applyPatternFormats="1" applyAlignmentFormats="0" applyWidthHeightFormats="0"/>
</file>

<file path=xl/queryTables/queryTable15.xml><?xml version="1.0" encoding="utf-8"?>
<queryTable xmlns="http://schemas.openxmlformats.org/spreadsheetml/2006/main" name="JrSCH08ug2_1" connectionId="13" autoFormatId="16" applyNumberFormats="0" applyBorderFormats="0" applyFontFormats="1" applyPatternFormats="1" applyAlignmentFormats="0" applyWidthHeightFormats="0"/>
</file>

<file path=xl/queryTables/queryTable16.xml><?xml version="1.0" encoding="utf-8"?>
<queryTable xmlns="http://schemas.openxmlformats.org/spreadsheetml/2006/main" name="CH11ug2_1" connectionId="2" autoFormatId="16" applyNumberFormats="0" applyBorderFormats="0" applyFontFormats="1" applyPatternFormats="1" applyAlignmentFormats="0" applyWidthHeightFormats="0"/>
</file>

<file path=xl/queryTables/queryTable17.xml><?xml version="1.0" encoding="utf-8"?>
<queryTable xmlns="http://schemas.openxmlformats.org/spreadsheetml/2006/main" name="SrSCH08ug2_1" connectionId="19" autoFormatId="16" applyNumberFormats="0" applyBorderFormats="0" applyFontFormats="1" applyPatternFormats="1" applyAlignmentFormats="0" applyWidthHeightFormats="0"/>
</file>

<file path=xl/queryTables/queryTable18.xml><?xml version="1.0" encoding="utf-8"?>
<queryTable xmlns="http://schemas.openxmlformats.org/spreadsheetml/2006/main" name="Dual08_1" connectionId="6" autoFormatId="16" applyNumberFormats="0" applyBorderFormats="0" applyFontFormats="1" applyPatternFormats="1" applyAlignmentFormats="0" applyWidthHeightFormats="0"/>
</file>

<file path=xl/queryTables/queryTable19.xml><?xml version="1.0" encoding="utf-8"?>
<queryTable xmlns="http://schemas.openxmlformats.org/spreadsheetml/2006/main" name="JrSCH08ug3_1" connectionId="14" autoFormatId="16" applyNumberFormats="0" applyBorderFormats="0" applyFontFormats="1" applyPatternFormats="1" applyAlignmentFormats="0" applyWidthHeightFormats="0"/>
</file>

<file path=xl/queryTables/queryTable20.xml><?xml version="1.0" encoding="utf-8"?>
<queryTable xmlns="http://schemas.openxmlformats.org/spreadsheetml/2006/main" name="SrSCH08gr2_1" connectionId="16" autoFormatId="16" applyNumberFormats="0" applyBorderFormats="0" applyFontFormats="1" applyPatternFormats="1" applyAlignmentFormats="0" applyWidthHeightFormats="0"/>
</file>

<file path=xl/queryTables/queryTable21.xml><?xml version="1.0" encoding="utf-8"?>
<queryTable xmlns="http://schemas.openxmlformats.org/spreadsheetml/2006/main" name="CH11ug3_1" connectionId="3" autoFormatId="16" applyNumberFormats="0" applyBorderFormats="0" applyFontFormats="1" applyPatternFormats="1" applyAlignmentFormats="0" applyWidthHeightFormats="0"/>
</file>

<file path=xl/queryTables/queryTable22.xml><?xml version="1.0" encoding="utf-8"?>
<queryTable xmlns="http://schemas.openxmlformats.org/spreadsheetml/2006/main" name="JrCH08ug4_1" connectionId="11" autoFormatId="16" applyNumberFormats="0" applyBorderFormats="0" applyFontFormats="1" applyPatternFormats="1" applyAlignmentFormats="0" applyWidthHeightFormats="0"/>
</file>

<file path=xl/queryTables/queryTable23.xml><?xml version="1.0" encoding="utf-8"?>
<queryTable xmlns="http://schemas.openxmlformats.org/spreadsheetml/2006/main" name="JrCH08ug3_1" connectionId="1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6.xml"/><Relationship Id="rId13" Type="http://schemas.openxmlformats.org/officeDocument/2006/relationships/queryTable" Target="../queryTables/queryTable11.xml"/><Relationship Id="rId18" Type="http://schemas.openxmlformats.org/officeDocument/2006/relationships/queryTable" Target="../queryTables/queryTable16.xml"/><Relationship Id="rId26" Type="http://schemas.openxmlformats.org/officeDocument/2006/relationships/comments" Target="../comments3.xml"/><Relationship Id="rId3" Type="http://schemas.openxmlformats.org/officeDocument/2006/relationships/queryTable" Target="../queryTables/queryTable1.xml"/><Relationship Id="rId21" Type="http://schemas.openxmlformats.org/officeDocument/2006/relationships/queryTable" Target="../queryTables/queryTable19.xml"/><Relationship Id="rId7" Type="http://schemas.openxmlformats.org/officeDocument/2006/relationships/queryTable" Target="../queryTables/queryTable5.xml"/><Relationship Id="rId12" Type="http://schemas.openxmlformats.org/officeDocument/2006/relationships/queryTable" Target="../queryTables/queryTable10.xml"/><Relationship Id="rId17" Type="http://schemas.openxmlformats.org/officeDocument/2006/relationships/queryTable" Target="../queryTables/queryTable15.xml"/><Relationship Id="rId25" Type="http://schemas.openxmlformats.org/officeDocument/2006/relationships/queryTable" Target="../queryTables/queryTable23.xml"/><Relationship Id="rId2" Type="http://schemas.openxmlformats.org/officeDocument/2006/relationships/vmlDrawing" Target="../drawings/vmlDrawing3.vml"/><Relationship Id="rId16" Type="http://schemas.openxmlformats.org/officeDocument/2006/relationships/queryTable" Target="../queryTables/queryTable14.xml"/><Relationship Id="rId20" Type="http://schemas.openxmlformats.org/officeDocument/2006/relationships/queryTable" Target="../queryTables/queryTable18.xml"/><Relationship Id="rId1" Type="http://schemas.openxmlformats.org/officeDocument/2006/relationships/printerSettings" Target="../printerSettings/printerSettings5.bin"/><Relationship Id="rId6" Type="http://schemas.openxmlformats.org/officeDocument/2006/relationships/queryTable" Target="../queryTables/queryTable4.xml"/><Relationship Id="rId11" Type="http://schemas.openxmlformats.org/officeDocument/2006/relationships/queryTable" Target="../queryTables/queryTable9.xml"/><Relationship Id="rId24" Type="http://schemas.openxmlformats.org/officeDocument/2006/relationships/queryTable" Target="../queryTables/queryTable22.xml"/><Relationship Id="rId5" Type="http://schemas.openxmlformats.org/officeDocument/2006/relationships/queryTable" Target="../queryTables/queryTable3.xml"/><Relationship Id="rId15" Type="http://schemas.openxmlformats.org/officeDocument/2006/relationships/queryTable" Target="../queryTables/queryTable13.xml"/><Relationship Id="rId23" Type="http://schemas.openxmlformats.org/officeDocument/2006/relationships/queryTable" Target="../queryTables/queryTable21.xml"/><Relationship Id="rId10" Type="http://schemas.openxmlformats.org/officeDocument/2006/relationships/queryTable" Target="../queryTables/queryTable8.xml"/><Relationship Id="rId19" Type="http://schemas.openxmlformats.org/officeDocument/2006/relationships/queryTable" Target="../queryTables/queryTable17.xml"/><Relationship Id="rId4" Type="http://schemas.openxmlformats.org/officeDocument/2006/relationships/queryTable" Target="../queryTables/queryTable2.xml"/><Relationship Id="rId9" Type="http://schemas.openxmlformats.org/officeDocument/2006/relationships/queryTable" Target="../queryTables/queryTable7.xml"/><Relationship Id="rId14" Type="http://schemas.openxmlformats.org/officeDocument/2006/relationships/queryTable" Target="../queryTables/queryTable12.xml"/><Relationship Id="rId22" Type="http://schemas.openxmlformats.org/officeDocument/2006/relationships/queryTable" Target="../queryTables/queryTable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6"/>
  </sheetPr>
  <dimension ref="A1:CJ266"/>
  <sheetViews>
    <sheetView showGridLines="0" showZeros="0" tabSelected="1" view="pageBreakPreview" topLeftCell="B1" zoomScaleNormal="85" zoomScaleSheetLayoutView="100" zoomScalePageLayoutView="80" workbookViewId="0">
      <selection activeCell="R34" sqref="R34"/>
    </sheetView>
  </sheetViews>
  <sheetFormatPr defaultRowHeight="12.75"/>
  <cols>
    <col min="1" max="1" width="16.83203125" style="1" customWidth="1"/>
    <col min="2" max="2" width="12.1640625" style="1" customWidth="1"/>
    <col min="3" max="3" width="12" style="1" customWidth="1"/>
    <col min="4" max="4" width="12.1640625" style="1" customWidth="1"/>
    <col min="5" max="5" width="11" style="1" customWidth="1"/>
    <col min="6" max="6" width="12.83203125" style="1" customWidth="1"/>
    <col min="7" max="7" width="11" style="1" customWidth="1"/>
    <col min="8" max="8" width="11.83203125" style="4" customWidth="1"/>
    <col min="9" max="9" width="11" style="1" customWidth="1"/>
    <col min="10" max="10" width="11.1640625" style="4" customWidth="1"/>
    <col min="11" max="11" width="11" style="4" customWidth="1"/>
    <col min="12" max="12" width="9" style="4" customWidth="1"/>
    <col min="13" max="13" width="9.6640625" style="73" customWidth="1"/>
    <col min="14" max="14" width="11.1640625" style="1" customWidth="1"/>
    <col min="15" max="15" width="9.6640625" style="1" customWidth="1"/>
    <col min="16" max="16" width="12" style="1" customWidth="1"/>
    <col min="17" max="17" width="12.33203125" style="1" customWidth="1"/>
    <col min="18" max="18" width="14.6640625" style="1" customWidth="1"/>
    <col min="19" max="19" width="15.6640625" style="1" customWidth="1"/>
    <col min="20" max="20" width="13.6640625" style="1" customWidth="1"/>
    <col min="21" max="21" width="13.83203125" style="1" customWidth="1"/>
    <col min="22" max="22" width="12.33203125" style="1" customWidth="1"/>
    <col min="23" max="23" width="12.83203125" style="1" customWidth="1"/>
    <col min="24" max="24" width="11.33203125" style="1" customWidth="1"/>
    <col min="25" max="26" width="13.33203125" style="1" customWidth="1"/>
    <col min="27" max="27" width="12.1640625" style="1" customWidth="1"/>
    <col min="28" max="28" width="12.5" style="1" customWidth="1"/>
    <col min="29" max="29" width="16.33203125" style="1" customWidth="1"/>
    <col min="30" max="30" width="9.83203125" style="1" customWidth="1"/>
    <col min="31" max="31" width="11.5" style="1" customWidth="1"/>
    <col min="32" max="32" width="10.83203125" style="1" customWidth="1"/>
    <col min="33" max="33" width="10" style="1" customWidth="1"/>
    <col min="34" max="34" width="11.1640625" style="1" customWidth="1"/>
    <col min="35" max="35" width="13.1640625" style="1" customWidth="1"/>
    <col min="36" max="36" width="14.5" style="1" customWidth="1"/>
    <col min="37" max="37" width="9.5" style="1" customWidth="1"/>
    <col min="38" max="38" width="12.5" style="1" customWidth="1"/>
    <col min="39" max="39" width="9.33203125" style="1"/>
    <col min="40" max="40" width="11.5" style="1" customWidth="1"/>
    <col min="41" max="41" width="9.33203125" style="1"/>
    <col min="42" max="42" width="12" style="1" customWidth="1"/>
    <col min="43" max="43" width="13" style="1" customWidth="1"/>
    <col min="44" max="44" width="17.5" style="1" customWidth="1"/>
    <col min="45" max="45" width="9.5" style="1" bestFit="1" customWidth="1"/>
    <col min="46" max="46" width="11" style="1" customWidth="1"/>
    <col min="47" max="48" width="9.33203125" style="1"/>
    <col min="49" max="49" width="11.1640625" style="1" customWidth="1"/>
    <col min="50" max="50" width="9.33203125" style="1"/>
    <col min="51" max="52" width="15.1640625" style="1" customWidth="1"/>
    <col min="53" max="56" width="9.33203125" style="1"/>
    <col min="57" max="57" width="12.33203125" style="1" customWidth="1"/>
    <col min="58" max="16384" width="9.33203125" style="1"/>
  </cols>
  <sheetData>
    <row r="1" spans="1:32" ht="18">
      <c r="A1" s="41" t="s">
        <v>222</v>
      </c>
      <c r="B1" s="20"/>
      <c r="C1" s="20"/>
      <c r="D1" s="20"/>
      <c r="E1" s="20"/>
      <c r="F1" s="20"/>
      <c r="G1" s="20"/>
      <c r="H1" s="104"/>
      <c r="I1" s="20"/>
      <c r="J1" s="104"/>
      <c r="K1" s="104"/>
      <c r="L1" s="104"/>
      <c r="M1" s="227"/>
      <c r="N1" s="17"/>
      <c r="O1" s="22"/>
    </row>
    <row r="2" spans="1:32" ht="13.5" customHeight="1">
      <c r="A2" s="21"/>
      <c r="B2" s="21"/>
      <c r="C2" s="21"/>
      <c r="D2" s="21"/>
      <c r="E2" s="21"/>
      <c r="F2" s="21"/>
      <c r="G2" s="21"/>
      <c r="H2" s="105"/>
      <c r="I2" s="21"/>
      <c r="J2" s="105"/>
      <c r="K2" s="105"/>
      <c r="L2" s="105"/>
      <c r="M2" s="198"/>
      <c r="N2" s="228"/>
      <c r="O2" s="22"/>
    </row>
    <row r="3" spans="1:32" ht="15.75">
      <c r="A3" s="110" t="s">
        <v>43</v>
      </c>
      <c r="B3" s="22"/>
      <c r="C3" s="22"/>
      <c r="D3" s="22"/>
      <c r="E3" s="22"/>
      <c r="F3" s="22"/>
      <c r="G3" s="22"/>
      <c r="H3" s="106"/>
      <c r="I3" s="22"/>
      <c r="J3" s="106"/>
      <c r="K3" s="106"/>
      <c r="L3" s="106"/>
      <c r="M3" s="170"/>
      <c r="N3" s="22"/>
      <c r="O3" s="228"/>
    </row>
    <row r="4" spans="1:32" ht="15.75">
      <c r="A4" s="43" t="s">
        <v>986</v>
      </c>
      <c r="B4" s="22"/>
      <c r="C4" s="22"/>
      <c r="D4" s="22"/>
      <c r="E4" s="22"/>
      <c r="F4" s="22"/>
      <c r="G4" s="22"/>
      <c r="H4" s="106"/>
      <c r="I4" s="22"/>
      <c r="J4" s="106"/>
      <c r="K4" s="106"/>
      <c r="L4" s="106"/>
      <c r="M4" s="170"/>
      <c r="N4" s="229"/>
      <c r="O4" s="22"/>
    </row>
    <row r="5" spans="1:32" ht="12.75" customHeight="1">
      <c r="B5" s="2"/>
      <c r="C5" s="2"/>
      <c r="D5" s="2"/>
      <c r="E5" s="2"/>
      <c r="F5" s="2"/>
      <c r="G5" s="2"/>
      <c r="H5" s="107"/>
      <c r="I5" s="2"/>
      <c r="J5" s="107"/>
      <c r="K5" s="107"/>
      <c r="L5" s="107"/>
      <c r="M5" s="191"/>
      <c r="Q5" s="126" t="s">
        <v>49</v>
      </c>
    </row>
    <row r="6" spans="1:32" ht="15" customHeight="1">
      <c r="A6" s="61"/>
      <c r="B6" s="731" t="s">
        <v>77</v>
      </c>
      <c r="C6" s="732"/>
      <c r="D6" s="732"/>
      <c r="E6" s="732"/>
      <c r="F6" s="732"/>
      <c r="G6" s="732"/>
      <c r="H6" s="91"/>
      <c r="I6" s="730"/>
      <c r="J6" s="730"/>
      <c r="K6" s="730"/>
      <c r="L6" s="730"/>
      <c r="M6" s="730"/>
      <c r="N6" s="730"/>
      <c r="O6" s="730"/>
      <c r="Q6" s="230" t="s">
        <v>208</v>
      </c>
    </row>
    <row r="7" spans="1:32" ht="17.25" customHeight="1">
      <c r="A7" s="45"/>
      <c r="B7" s="189">
        <v>1</v>
      </c>
      <c r="C7" s="22"/>
      <c r="D7" s="190">
        <v>2</v>
      </c>
      <c r="E7" s="22"/>
      <c r="F7" s="190">
        <v>3</v>
      </c>
      <c r="G7" s="22"/>
      <c r="H7" s="190">
        <v>4</v>
      </c>
      <c r="I7" s="65"/>
      <c r="J7" s="190">
        <v>5</v>
      </c>
      <c r="K7" s="65"/>
      <c r="L7" s="190">
        <v>6</v>
      </c>
      <c r="M7" s="192"/>
      <c r="N7" s="190" t="s">
        <v>41</v>
      </c>
      <c r="O7" s="65"/>
      <c r="P7" s="209"/>
      <c r="Q7" s="36"/>
      <c r="R7" s="36" t="s">
        <v>210</v>
      </c>
      <c r="S7" s="36"/>
      <c r="T7" s="235">
        <v>2</v>
      </c>
      <c r="U7" s="36"/>
      <c r="V7" s="235">
        <v>3</v>
      </c>
      <c r="W7" s="36"/>
      <c r="X7" s="235">
        <v>4</v>
      </c>
      <c r="Y7" s="36"/>
      <c r="Z7" s="235">
        <v>5</v>
      </c>
      <c r="AA7" s="36"/>
      <c r="AB7" s="235">
        <v>6</v>
      </c>
      <c r="AC7" s="36"/>
      <c r="AD7" s="235" t="s">
        <v>3</v>
      </c>
      <c r="AE7" s="36"/>
    </row>
    <row r="8" spans="1:32" ht="77.25" customHeight="1">
      <c r="A8" s="188"/>
      <c r="B8" s="194" t="s">
        <v>160</v>
      </c>
      <c r="C8" s="166" t="s">
        <v>24</v>
      </c>
      <c r="D8" s="195" t="s">
        <v>160</v>
      </c>
      <c r="E8" s="166" t="s">
        <v>24</v>
      </c>
      <c r="F8" s="195" t="s">
        <v>160</v>
      </c>
      <c r="G8" s="166" t="s">
        <v>24</v>
      </c>
      <c r="H8" s="195" t="s">
        <v>160</v>
      </c>
      <c r="I8" s="166" t="s">
        <v>24</v>
      </c>
      <c r="J8" s="195" t="s">
        <v>160</v>
      </c>
      <c r="K8" s="166" t="s">
        <v>24</v>
      </c>
      <c r="L8" s="195" t="s">
        <v>160</v>
      </c>
      <c r="M8" s="121" t="s">
        <v>24</v>
      </c>
      <c r="N8" s="195" t="s">
        <v>160</v>
      </c>
      <c r="O8" s="166" t="s">
        <v>24</v>
      </c>
      <c r="P8" s="42"/>
      <c r="Q8" s="233"/>
      <c r="R8" s="234" t="s">
        <v>206</v>
      </c>
      <c r="S8" s="234" t="s">
        <v>4</v>
      </c>
      <c r="T8" s="236" t="s">
        <v>206</v>
      </c>
      <c r="U8" s="234" t="s">
        <v>4</v>
      </c>
      <c r="V8" s="236" t="s">
        <v>206</v>
      </c>
      <c r="W8" s="234" t="s">
        <v>4</v>
      </c>
      <c r="X8" s="236" t="s">
        <v>206</v>
      </c>
      <c r="Y8" s="234" t="s">
        <v>4</v>
      </c>
      <c r="Z8" s="236" t="s">
        <v>206</v>
      </c>
      <c r="AA8" s="234" t="s">
        <v>4</v>
      </c>
      <c r="AB8" s="236" t="s">
        <v>206</v>
      </c>
      <c r="AC8" s="234" t="s">
        <v>4</v>
      </c>
      <c r="AD8" s="236" t="s">
        <v>206</v>
      </c>
      <c r="AE8" s="234" t="s">
        <v>4</v>
      </c>
    </row>
    <row r="9" spans="1:32" ht="15" customHeight="1">
      <c r="A9" s="1" t="s">
        <v>79</v>
      </c>
      <c r="B9" s="207">
        <f>+GETPIVOTDATA("Undergrad Student Credit Hour FTE - New",'FTE Pivot for regular counts'!$A$2,"Category",1,"Category2","Group1")</f>
        <v>857777.60333333339</v>
      </c>
      <c r="C9" s="259"/>
      <c r="D9" s="208">
        <f>+GETPIVOTDATA("Undergrad Student Credit Hour FTE - New",'FTE Pivot for regular counts'!$A$2,"Category",2,"Category2","Four-Year")</f>
        <v>198827.1</v>
      </c>
      <c r="E9" s="259"/>
      <c r="F9" s="186">
        <f>+GETPIVOTDATA("Undergrad Student Credit Hour FTE - New",'FTE Pivot for regular counts'!$A$2,"Category",3,"Category2","Four-Year")</f>
        <v>547144.8666666667</v>
      </c>
      <c r="G9" s="259"/>
      <c r="H9" s="186">
        <f>+GETPIVOTDATA("Undergrad Student Credit Hour FTE - New",'FTE Pivot for regular counts'!$A$2,"Category",4,"Category2","Four-Year")</f>
        <v>187890.98</v>
      </c>
      <c r="I9" s="259"/>
      <c r="J9" s="186">
        <f>+GETPIVOTDATA("Undergrad Student Credit Hour FTE - New",'FTE Pivot for regular counts'!$A$2,"Category",5,"Category2","Four-Year")</f>
        <v>113307.21666666666</v>
      </c>
      <c r="K9" s="259"/>
      <c r="L9" s="186">
        <f>+GETPIVOTDATA("Undergrad Student Credit Hour FTE - New",'FTE Pivot for regular counts'!$A$2,"Category",6,"Category2","Four-Year")</f>
        <v>68090.89</v>
      </c>
      <c r="M9" s="259"/>
      <c r="N9" s="186">
        <f>+GETPIVOTDATA("Undergrad Student Credit Hour FTE - New",'FTE Pivot for regular counts'!$A$2,"Category2","Four-Year")</f>
        <v>1973038.6566666667</v>
      </c>
      <c r="O9" s="259"/>
      <c r="Q9" s="1" t="s">
        <v>79</v>
      </c>
      <c r="R9" s="746"/>
      <c r="S9" s="799">
        <f>(C9-R9)*100</f>
        <v>0</v>
      </c>
      <c r="T9" s="242"/>
      <c r="U9" s="799">
        <f>(E9-T9)*100</f>
        <v>0</v>
      </c>
      <c r="V9" s="242"/>
      <c r="W9" s="799">
        <f>(G9-V9)*100</f>
        <v>0</v>
      </c>
      <c r="X9" s="242"/>
      <c r="Y9" s="799">
        <f>(I9-X9)*100</f>
        <v>0</v>
      </c>
      <c r="Z9" s="242"/>
      <c r="AA9" s="799">
        <f>(K9-Z9)*100</f>
        <v>0</v>
      </c>
      <c r="AB9" s="242"/>
      <c r="AC9" s="799">
        <f>(M9-AB9)*100</f>
        <v>0</v>
      </c>
      <c r="AD9" s="242"/>
      <c r="AE9" s="799">
        <f>(O9-AD9)*100</f>
        <v>0</v>
      </c>
      <c r="AF9" s="1" t="s">
        <v>79</v>
      </c>
    </row>
    <row r="10" spans="1:32" ht="12.75" customHeight="1">
      <c r="B10" s="733"/>
      <c r="C10" s="260" t="s">
        <v>230</v>
      </c>
      <c r="D10" s="734"/>
      <c r="E10" s="260" t="s">
        <v>231</v>
      </c>
      <c r="F10" s="734"/>
      <c r="G10" s="260" t="s">
        <v>232</v>
      </c>
      <c r="H10" s="734"/>
      <c r="I10" s="260" t="s">
        <v>233</v>
      </c>
      <c r="J10" s="734"/>
      <c r="K10" s="260" t="s">
        <v>234</v>
      </c>
      <c r="L10" s="734"/>
      <c r="M10" s="260" t="s">
        <v>235</v>
      </c>
      <c r="N10" s="734"/>
      <c r="O10" s="260" t="s">
        <v>236</v>
      </c>
      <c r="R10" s="747" t="s">
        <v>990</v>
      </c>
      <c r="S10" s="800"/>
      <c r="T10" s="748" t="s">
        <v>991</v>
      </c>
      <c r="U10" s="800"/>
      <c r="V10" s="748" t="s">
        <v>992</v>
      </c>
      <c r="W10" s="800"/>
      <c r="X10" s="748" t="s">
        <v>993</v>
      </c>
      <c r="Y10" s="800"/>
      <c r="Z10" s="748" t="s">
        <v>994</v>
      </c>
      <c r="AA10" s="800"/>
      <c r="AB10" s="748" t="s">
        <v>995</v>
      </c>
      <c r="AC10" s="800"/>
      <c r="AD10" s="748" t="s">
        <v>996</v>
      </c>
      <c r="AE10" s="800"/>
    </row>
    <row r="11" spans="1:32" ht="15" customHeight="1">
      <c r="A11" s="1" t="s">
        <v>80</v>
      </c>
      <c r="B11" s="5">
        <f>+GETPIVOTDATA("Undergrad Student Credit Hour FTE - New",'FTE Pivot for regular counts'!$A$2,"State","AL","Category",1,"Category2","Four-Year")</f>
        <v>52954.73333333333</v>
      </c>
      <c r="C11" s="167">
        <f>+GETPIVOTDATA("Sum of New-HS % of Total",'Pivot-HS Student % of Undergrad'!$A$3,"State","AL","Category",1,"Category2","Four-Year")</f>
        <v>1.1122707318577754E-3</v>
      </c>
      <c r="D11" s="186">
        <f>+GETPIVOTDATA("Undergrad Student Credit Hour FTE - New",'FTE Pivot for regular counts'!$A$2,"State","AL","Category",2,"Category2","Four-Year")</f>
        <v>5179.3999999999996</v>
      </c>
      <c r="E11" s="167">
        <f>+GETPIVOTDATA("Sum of New-HS % of Total",'Pivot-HS Student % of Undergrad'!$A$3,"State","AL","Category",2,"Category2","Four-Year")</f>
        <v>2.6772727857795626E-3</v>
      </c>
      <c r="F11" s="186">
        <f>+GETPIVOTDATA("Undergrad Student Credit Hour FTE - New",'FTE Pivot for regular counts'!$A$2,"State","AL","Category",3,"Category2","Four-Year")</f>
        <v>33670.666666666664</v>
      </c>
      <c r="G11" s="167">
        <f>+GETPIVOTDATA("Sum of New-HS % of Total",'Pivot-HS Student % of Undergrad'!$A$3,"State","AL","Category",3,"Category2","Four-Year")</f>
        <v>2.5591018888844888E-3</v>
      </c>
      <c r="H11" s="186">
        <f>+GETPIVOTDATA("Undergrad Student Credit Hour FTE - New",'FTE Pivot for regular counts'!$A$2,"State","AL","Category",4,"Category2","Four-Year")</f>
        <v>14408.033333333333</v>
      </c>
      <c r="I11" s="167">
        <f>+GETPIVOTDATA("Sum of New-HS % of Total",'Pivot-HS Student % of Undergrad'!$A$3,"State","AL","Category",4,"Category2","Four-Year")</f>
        <v>6.1308390458100917E-3</v>
      </c>
      <c r="J11" s="186">
        <f>+GETPIVOTDATA("Undergrad Student Credit Hour FTE - New",'FTE Pivot for regular counts'!$A$2,"State","AL","Category",5,"Category2","Four-Year")</f>
        <v>4158.5333333333338</v>
      </c>
      <c r="K11" s="167">
        <f>+GETPIVOTDATA("Sum of New-HS % of Total",'Pivot-HS Student % of Undergrad'!$A$3,"State","AL","Category",5,"Category2","Four-Year")</f>
        <v>1.266472153643913E-3</v>
      </c>
      <c r="L11" s="186">
        <f>+GETPIVOTDATA("Undergrad Student Credit Hour FTE - New",'FTE Pivot for regular counts'!$A$2,"State","AL","Category",6,"Category2","Four-Year")</f>
        <v>2856.7333333333331</v>
      </c>
      <c r="M11" s="167">
        <f>+GETPIVOTDATA("Sum of New-HS % of Total",'Pivot-HS Student % of Undergrad'!$A$3,"State","AL","Category",6,"Category2","Four-Year")</f>
        <v>0</v>
      </c>
      <c r="N11" s="186">
        <f>+GETPIVOTDATA("Undergrad Student Credit Hour FTE - New",'FTE Pivot for regular counts'!$A$2,"State","AL","Category2","Four-Year")</f>
        <v>113228.09999999999</v>
      </c>
      <c r="O11" s="167">
        <f>+GETPIVOTDATA("Sum of New-HS % of Total",'Pivot-HS Student % of Undergrad'!$A$3,"State","AL","Category2","Group1")</f>
        <v>2.2303061990206789E-3</v>
      </c>
      <c r="Q11" s="1" t="s">
        <v>80</v>
      </c>
      <c r="R11" s="241">
        <f>+GETPIVOTDATA("Sum of Old-HS % of Total",'Pivot-HS Student % of Undergrad'!$A$3,"State","AL","Category",1,"Category2","Four-Year")</f>
        <v>4.2017865996621764E-4</v>
      </c>
      <c r="S11" s="801">
        <f>(C11-R11)*100</f>
        <v>6.9209207189155769E-2</v>
      </c>
      <c r="T11" s="242">
        <f>+GETPIVOTDATA("Sum of Old-HS % of Total",'Pivot-HS Student % of Undergrad'!$A$3,"State","AL","Category",2,"Category2","Four-Year")</f>
        <v>2.4121295658166781E-3</v>
      </c>
      <c r="U11" s="801">
        <f t="shared" ref="U11:U29" si="0">(E11-T11)*100</f>
        <v>2.6514321996288451E-2</v>
      </c>
      <c r="V11" s="242">
        <f>GETPIVOTDATA("Sum of Old-HS % of Total",'Pivot-HS Student % of Undergrad'!$A$3,"State","AL","Category",3,"Category2","Four-Year")</f>
        <v>3.0998919923615003E-3</v>
      </c>
      <c r="W11" s="801">
        <f t="shared" ref="W11:W29" si="1">(G11-V11)*100</f>
        <v>-5.4079010347701142E-2</v>
      </c>
      <c r="X11" s="242">
        <f>+GETPIVOTDATA("Sum of Old-HS % of Total",'Pivot-HS Student % of Undergrad'!$A$3,"State","AL","Category",4,"Category2","Four-Year")</f>
        <v>6.1835849794107754E-3</v>
      </c>
      <c r="Y11" s="801">
        <f t="shared" ref="Y11:Y29" si="2">(I11-X11)*100</f>
        <v>-5.2745933600683616E-3</v>
      </c>
      <c r="Z11" s="242">
        <f>+GETPIVOTDATA("Sum of Old-HS % of Total",'Pivot-HS Student % of Undergrad'!$A$3,"State","AL","Category",5,"Category2","Four-Year")</f>
        <v>1.2547556041728667E-3</v>
      </c>
      <c r="AA11" s="801">
        <f t="shared" ref="AA11:AA29" si="3">(K11-Z11)*100</f>
        <v>1.1716549471046294E-3</v>
      </c>
      <c r="AB11" s="242">
        <f>+GETPIVOTDATA("Sum of Old-HS % of Total",'Pivot-HS Student % of Undergrad'!$A$3,"State","AL","Category",6,"Category2","Four-Year")</f>
        <v>0</v>
      </c>
      <c r="AC11" s="801">
        <f t="shared" ref="AC11:AC29" si="4">(M11-AB11)*100</f>
        <v>0</v>
      </c>
      <c r="AD11" s="242">
        <f>+GETPIVOTDATA("Sum of Old-HS % of Total",'Pivot-HS Student % of Undergrad'!$A$3,"State","AL","Category2","Four-Year")</f>
        <v>2.075344872822505E-3</v>
      </c>
      <c r="AE11" s="801">
        <f t="shared" ref="AE11:AE29" si="5">(O11-AD11)*100</f>
        <v>1.5496132619817384E-2</v>
      </c>
      <c r="AF11" s="1" t="s">
        <v>80</v>
      </c>
    </row>
    <row r="12" spans="1:32" ht="15" customHeight="1">
      <c r="A12" s="4" t="s">
        <v>81</v>
      </c>
      <c r="B12" s="5">
        <f>+GETPIVOTDATA("Undergrad Student Credit Hour FTE - New",'FTE Pivot for regular counts'!$A$2,"State","AR","Category",1,"Category2","Four-Year")</f>
        <v>17529.766666666666</v>
      </c>
      <c r="C12" s="211">
        <f>+GETPIVOTDATA("Sum of New-HS % of Total",'Pivot-HS Student % of Undergrad'!$A$3,"State","AR","Category",1,"Category2","Four-Year")</f>
        <v>1.8634969470976035E-4</v>
      </c>
      <c r="D12" s="186">
        <f>+GETPIVOTDATA("Undergrad Student Credit Hour FTE - New",'FTE Pivot for regular counts'!$A$2,"State","AR","Category",2,"Category2","Four-Year")</f>
        <v>0</v>
      </c>
      <c r="E12" s="167">
        <f>+GETPIVOTDATA("Sum of New-HS % of Total",'Pivot-HS Student % of Undergrad'!$A$3,"State","AR","Category",2,"Category2","Four-Year")</f>
        <v>0</v>
      </c>
      <c r="F12" s="186">
        <f>+GETPIVOTDATA("Undergrad Student Credit Hour FTE - New",'FTE Pivot for regular counts'!$A$2,"State","AR","Category",3,"Category2","Four-Year")</f>
        <v>26185.166666666664</v>
      </c>
      <c r="G12" s="167">
        <f>+GETPIVOTDATA("Sum of New-HS % of Total",'Pivot-HS Student % of Undergrad'!$A$3,"State","AR","Category",3,"Category2","Four-Year")</f>
        <v>2.5364232930857801E-2</v>
      </c>
      <c r="H12" s="186">
        <f>+GETPIVOTDATA("Undergrad Student Credit Hour FTE - New",'FTE Pivot for regular counts'!$A$2,"State","AR","Category",4,"Category2","Four-Year")</f>
        <v>13326.366666666667</v>
      </c>
      <c r="I12" s="167">
        <f>+GETPIVOTDATA("Sum of New-HS % of Total",'Pivot-HS Student % of Undergrad'!$A$3,"State","AR","Category",4,"Category2","Four-Year")</f>
        <v>1.6928845321680579E-2</v>
      </c>
      <c r="J12" s="186">
        <f>+GETPIVOTDATA("Undergrad Student Credit Hour FTE - New",'FTE Pivot for regular counts'!$A$2,"State","AR","Category",5,"Category2","Four-Year")</f>
        <v>2400.0666666666666</v>
      </c>
      <c r="K12" s="167">
        <f>+GETPIVOTDATA("Sum of New-HS % of Total",'Pivot-HS Student % of Undergrad'!$A$3,"State","AR","Category",5,"Category2","Four-Year")</f>
        <v>5.4456820643871001E-2</v>
      </c>
      <c r="L12" s="186">
        <f>+GETPIVOTDATA("Undergrad Student Credit Hour FTE - New",'FTE Pivot for regular counts'!$A$2,"State","AR","Category",6,"Category2","Four-Year")</f>
        <v>9355.5666666666657</v>
      </c>
      <c r="M12" s="167">
        <f>+GETPIVOTDATA("Sum of New-HS % of Total",'Pivot-HS Student % of Undergrad'!$A$3,"State","AR","Category",6,"Category2","Four-Year")</f>
        <v>3.0548657305632654E-2</v>
      </c>
      <c r="N12" s="186">
        <f>+GETPIVOTDATA("Undergrad Student Credit Hour FTE - New",'FTE Pivot for regular counts'!$A$2,"State","AR","Category2","Four-Year")</f>
        <v>68796.933333333334</v>
      </c>
      <c r="O12" s="167">
        <f>+GETPIVOTDATA("Sum of New-HS % of Total",'Pivot-HS Student % of Undergrad'!$A$3,"State","AR","Category2","Group1")</f>
        <v>1.903476317742845E-2</v>
      </c>
      <c r="Q12" s="4" t="s">
        <v>81</v>
      </c>
      <c r="R12" s="241">
        <f>+GETPIVOTDATA("Sum of Old-HS % of Total",'Pivot-HS Student % of Undergrad'!$A$3,"State","AR","Category",1,"Category2","Four-Year")</f>
        <v>1.5844914205071216E-4</v>
      </c>
      <c r="S12" s="801">
        <f t="shared" ref="S12:S14" si="6">(C12-R12)*100</f>
        <v>2.790055265904819E-3</v>
      </c>
      <c r="T12" s="242">
        <f>+GETPIVOTDATA("Sum of Old-HS % of Total",'Pivot-HS Student % of Undergrad'!$A$3,"State","AR","Category",2,"Category2","Four-Year")</f>
        <v>0</v>
      </c>
      <c r="U12" s="801">
        <f t="shared" si="0"/>
        <v>0</v>
      </c>
      <c r="V12" s="242">
        <f>+GETPIVOTDATA("Sum of Old-HS % of Total",'Pivot-HS Student % of Undergrad'!$A$3,"State","AR","Category",3,"Category2","Four-Year")</f>
        <v>2.5558104230829496E-2</v>
      </c>
      <c r="W12" s="801">
        <f t="shared" si="1"/>
        <v>-1.9387129997169503E-2</v>
      </c>
      <c r="X12" s="242">
        <f>+GETPIVOTDATA("Sum of Old-HS % of Total",'Pivot-HS Student % of Undergrad'!$A$3,"State","AR","Category",4,"Category2","Four-Year")</f>
        <v>1.6629119841652235E-2</v>
      </c>
      <c r="Y12" s="801">
        <f t="shared" si="2"/>
        <v>2.9972548002834415E-2</v>
      </c>
      <c r="Z12" s="242">
        <f>+GETPIVOTDATA("Sum of Old-HS % of Total",'Pivot-HS Student % of Undergrad'!$A$3,"State","AR","Category",5,"Category2","Four-Year")</f>
        <v>4.6307707563072828E-2</v>
      </c>
      <c r="AA12" s="801">
        <f t="shared" si="3"/>
        <v>0.81491130807981738</v>
      </c>
      <c r="AB12" s="242">
        <f>+GETPIVOTDATA("Sum of Old-HS % of Total",'Pivot-HS Student % of Undergrad'!$A$3,"State","AR","Category",6,"Category2","Four-Year")</f>
        <v>2.8513431743664074E-2</v>
      </c>
      <c r="AC12" s="801">
        <f t="shared" si="4"/>
        <v>0.20352255619685811</v>
      </c>
      <c r="AD12" s="242">
        <f>+GETPIVOTDATA("Sum of Old-HS % of Total",'Pivot-HS Student % of Undergrad'!$A$3,"State","AR","Category2","Four-Year")</f>
        <v>1.8954512986458477E-2</v>
      </c>
      <c r="AE12" s="801">
        <f t="shared" si="5"/>
        <v>8.0250190969972934E-3</v>
      </c>
      <c r="AF12" s="4" t="s">
        <v>81</v>
      </c>
    </row>
    <row r="13" spans="1:32" ht="15" customHeight="1">
      <c r="A13" s="1" t="s">
        <v>118</v>
      </c>
      <c r="B13" s="5">
        <f>+GETPIVOTDATA("Undergrad Student Credit Hour FTE - New",'FTE Pivot for regular counts'!$A$2,"State","DE","Category",1,"Category2","Four-Year")</f>
        <v>17519.966666666667</v>
      </c>
      <c r="C13" s="167">
        <f>+GETPIVOTDATA("Sum of New-HS % of Total",'Pivot-HS Student % of Undergrad'!$A$3,"State","DE","Category",1,"Category2","Four-Year")</f>
        <v>0</v>
      </c>
      <c r="D13" s="186">
        <f>+GETPIVOTDATA("Undergrad Student Credit Hour FTE - New",'FTE Pivot for regular counts'!$A$2,"State","DE","Category",2,"Category2","Four-Year")</f>
        <v>0</v>
      </c>
      <c r="E13" s="167">
        <f>+GETPIVOTDATA("Sum of New-HS % of Total",'Pivot-HS Student % of Undergrad'!$A$3,"State","DE","Category",2,"Category2","Four-Year")</f>
        <v>0</v>
      </c>
      <c r="F13" s="186">
        <f>+GETPIVOTDATA("Undergrad Student Credit Hour FTE - New",'FTE Pivot for regular counts'!$A$2,"State","DE","Category",3,"Category2","Four-Year")</f>
        <v>0</v>
      </c>
      <c r="G13" s="167">
        <f>+GETPIVOTDATA("Sum of New-HS % of Total",'Pivot-HS Student % of Undergrad'!$A$3,"State","DE","Category",3,"Category2","Four-Year")</f>
        <v>0</v>
      </c>
      <c r="H13" s="186">
        <f>+GETPIVOTDATA("Undergrad Student Credit Hour FTE - New",'FTE Pivot for regular counts'!$A$2,"State","DE","Category",4,"Category2","Four-Year")</f>
        <v>3441.0333333333333</v>
      </c>
      <c r="I13" s="167">
        <f>GETPIVOTDATA("Sum of New-HS % of Total",'Pivot-HS Student % of Undergrad'!$A$3,"State","DE","Category",4,"Category2","Four-Year")</f>
        <v>0</v>
      </c>
      <c r="J13" s="186">
        <f>+GETPIVOTDATA("Undergrad Student Credit Hour FTE - New",'FTE Pivot for regular counts'!$A$2,"State","DE","Category",5,"Category2","Four-Year")</f>
        <v>0</v>
      </c>
      <c r="K13" s="167">
        <f>+GETPIVOTDATA("Sum of New-HS % of Total",'Pivot-HS Student % of Undergrad'!$A$3,"State","FL","Category",5,"Category2","Four-Year")</f>
        <v>0</v>
      </c>
      <c r="L13" s="186">
        <f>+GETPIVOTDATA("Undergrad Student Credit Hour FTE - New",'FTE Pivot for regular counts'!$A$2,"State","DE","Category",6,"Category2","Four-Year")</f>
        <v>0</v>
      </c>
      <c r="M13" s="167">
        <f>+GETPIVOTDATA("Sum of New-HS % of Total",'Pivot-HS Student % of Undergrad'!$A$3,"State","FL","Category",6,"Category2","Four-Year")</f>
        <v>0</v>
      </c>
      <c r="N13" s="186">
        <f>+GETPIVOTDATA("Undergrad Student Credit Hour FTE - New",'FTE Pivot for regular counts'!$A$2,"State","DE","Category2","Four-Year")</f>
        <v>20961</v>
      </c>
      <c r="O13" s="167">
        <f>+GETPIVOTDATA("Sum of New-HS % of Total",'Pivot-HS Student % of Undergrad'!$A$3,"State","DE","Category2","Group1")</f>
        <v>0</v>
      </c>
      <c r="Q13" s="1" t="s">
        <v>118</v>
      </c>
      <c r="R13" s="241">
        <f>+GETPIVOTDATA("Sum of Old-HS % of Total",'Pivot-HS Student % of Undergrad'!$A$3,"State","DE","Category",1,"Category2","Four-Year")</f>
        <v>3.6897670076701731E-3</v>
      </c>
      <c r="S13" s="801">
        <f t="shared" si="6"/>
        <v>-0.36897670076701733</v>
      </c>
      <c r="T13" s="242">
        <f>+GETPIVOTDATA("Sum of Old-HS % of Total",'Pivot-HS Student % of Undergrad'!$A$3,"State","DE","Category",2,"Category2","Four-Year")</f>
        <v>0</v>
      </c>
      <c r="U13" s="801">
        <f t="shared" si="0"/>
        <v>0</v>
      </c>
      <c r="V13" s="242">
        <f>+GETPIVOTDATA("Sum of Old-HS % of Total",'Pivot-HS Student % of Undergrad'!$A$3,"State","DE","Category",3,"Category2","Four-Year")</f>
        <v>0</v>
      </c>
      <c r="W13" s="801">
        <f t="shared" si="1"/>
        <v>0</v>
      </c>
      <c r="X13" s="242">
        <f>+GETPIVOTDATA("Sum of Old-HS % of Total",'Pivot-HS Student % of Undergrad'!$A$3,"State","DE","Category",4,"Category2","Four-Year")</f>
        <v>1.8075192802056556E-3</v>
      </c>
      <c r="Y13" s="801">
        <f t="shared" si="2"/>
        <v>-0.18075192802056556</v>
      </c>
      <c r="Z13" s="242">
        <f>+GETPIVOTDATA("Sum of Old-HS % of Total",'Pivot-HS Student % of Undergrad'!$A$3,"State","DE","Category",5,"Category2","Four-Year")</f>
        <v>0</v>
      </c>
      <c r="AA13" s="801">
        <f t="shared" si="3"/>
        <v>0</v>
      </c>
      <c r="AB13" s="242">
        <f>+GETPIVOTDATA("Sum of Old-HS % of Total",'Pivot-HS Student % of Undergrad'!$A$3,"State","DE","Category",6,"Category2","Four-Year")</f>
        <v>0</v>
      </c>
      <c r="AC13" s="801">
        <f t="shared" si="4"/>
        <v>0</v>
      </c>
      <c r="AD13" s="242">
        <f>+GETPIVOTDATA("Sum of Old-HS % of Total",'Pivot-HS Student % of Undergrad'!$A$3,"State","DE","Category2","Four-Year")</f>
        <v>3.3870162760910893E-3</v>
      </c>
      <c r="AE13" s="801">
        <f t="shared" si="5"/>
        <v>-0.33870162760910894</v>
      </c>
      <c r="AF13" s="1" t="s">
        <v>118</v>
      </c>
    </row>
    <row r="14" spans="1:32" ht="15" customHeight="1">
      <c r="A14" s="1" t="s">
        <v>82</v>
      </c>
      <c r="B14" s="5">
        <f>+GETPIVOTDATA("Undergrad Student Credit Hour FTE - New",'FTE Pivot for regular counts'!$A$2,"State","FL","Category",1,"Category2","Four-Year")</f>
        <v>177447.7</v>
      </c>
      <c r="C14" s="167">
        <f>+GETPIVOTDATA("Sum of New-HS % of Total",'Pivot-HS Student % of Undergrad'!$A$3,"State","FL","Category",1,"Category2","Four-Year")</f>
        <v>5.4196250500851799E-3</v>
      </c>
      <c r="D14" s="186">
        <f>+GETPIVOTDATA("Undergrad Student Credit Hour FTE - New",'FTE Pivot for regular counts'!$A$2,"State","FL","Category",2,"Category2","Four-Year")</f>
        <v>19989.233333333334</v>
      </c>
      <c r="E14" s="167">
        <f>+GETPIVOTDATA("Sum of New-HS % of Total",'Pivot-HS Student % of Undergrad'!$A$3,"State","FL","Category",2,"Category2","Four-Year")</f>
        <v>1.0313885641770486E-2</v>
      </c>
      <c r="F14" s="186">
        <f>+GETPIVOTDATA("Undergrad Student Credit Hour FTE - New",'FTE Pivot for regular counts'!$A$2,"State","FL","Category",3,"Category2","Four-Year")</f>
        <v>32079.4</v>
      </c>
      <c r="G14" s="167">
        <f>+GETPIVOTDATA("Sum of New-HS % of Total",'Pivot-HS Student % of Undergrad'!$A$3,"State","FL","Category",3,"Category2","Four-Year")</f>
        <v>1.6095479757518324E-3</v>
      </c>
      <c r="H14" s="186">
        <f>+GETPIVOTDATA("Undergrad Student Credit Hour FTE - New",'FTE Pivot for regular counts'!$A$2,"State","FL","Category",4,"Category2","Four-Year")</f>
        <v>9618.7666666666664</v>
      </c>
      <c r="I14" s="167">
        <f>+GETPIVOTDATA("Sum of New-HS % of Total",'Pivot-HS Student % of Undergrad'!$A$3,"State","FL","Category",4,"Category2","Four-Year")</f>
        <v>8.2235075182889011E-3</v>
      </c>
      <c r="J14" s="186">
        <f>+GETPIVOTDATA("Undergrad Student Credit Hour FTE - New",'FTE Pivot for regular counts'!$A$2,"State","FL","Category",5,"Category2","Four-Year")</f>
        <v>0</v>
      </c>
      <c r="K14" s="167">
        <f>+GETPIVOTDATA("Sum of New-HS % of Total",'Pivot-HS Student % of Undergrad'!$A$3,"State","FL","Category",5,"Category2","Four-Year")</f>
        <v>0</v>
      </c>
      <c r="L14" s="186">
        <f>+GETPIVOTDATA("Undergrad Student Credit Hour FTE - New",'FTE Pivot for regular counts'!$A$2,"State","FL","Category",6,"Category2","Four-Year")</f>
        <v>940.26666666666665</v>
      </c>
      <c r="M14" s="167">
        <f>+GETPIVOTDATA("Sum of New-HS % of Total",'Pivot-HS Student % of Undergrad'!$A$3,"State","FL","Category",6,"Category2","Four-Year")</f>
        <v>0</v>
      </c>
      <c r="N14" s="186">
        <f>+GETPIVOTDATA("Undergrad Student Credit Hour FTE - New",'FTE Pivot for regular counts'!$A$2,"State","FL","Category2","Four-Year")</f>
        <v>240075.36666666667</v>
      </c>
      <c r="O14" s="167">
        <f>+GETPIVOTDATA("Sum of New-HS % of Total",'Pivot-HS Student % of Undergrad'!$A$3,"State","FL","Category2","Group1")</f>
        <v>5.4304031486803904E-3</v>
      </c>
      <c r="Q14" s="1" t="s">
        <v>82</v>
      </c>
      <c r="R14" s="241">
        <f>+GETPIVOTDATA("Sum of Old-HS % of Total",'Pivot-HS Student % of Undergrad'!$A$3,"State","FL","Category",1,"Category2","Four-Year")</f>
        <v>3.992952972340591E-3</v>
      </c>
      <c r="S14" s="801">
        <f t="shared" si="6"/>
        <v>0.1426672077744589</v>
      </c>
      <c r="T14" s="242">
        <f>+GETPIVOTDATA("Sum of Old-HS % of Total",'Pivot-HS Student % of Undergrad'!$A$3,"State","FL","Category",2,"Category2","Four-Year")</f>
        <v>9.2838917288486332E-3</v>
      </c>
      <c r="U14" s="801">
        <f t="shared" si="0"/>
        <v>0.10299939129218526</v>
      </c>
      <c r="V14" s="242">
        <f>+GETPIVOTDATA("Sum of Old-HS % of Total",'Pivot-HS Student % of Undergrad'!$A$3,"State","FL","Category",3,"Category2","Four-Year")</f>
        <v>1.2657789784209328E-3</v>
      </c>
      <c r="W14" s="801">
        <f t="shared" si="1"/>
        <v>3.4376899733089966E-2</v>
      </c>
      <c r="X14" s="242">
        <f>+GETPIVOTDATA("Sum of Old-HS % of Total",'Pivot-HS Student % of Undergrad'!$A$3,"State","FL","Category",4,"Category2","Four-Year")</f>
        <v>8.0387466846214804E-3</v>
      </c>
      <c r="Y14" s="801">
        <f t="shared" si="2"/>
        <v>1.8476083366742065E-2</v>
      </c>
      <c r="Z14" s="242">
        <f>+GETPIVOTDATA("Sum of Old-HS % of Total",'Pivot-HS Student % of Undergrad'!$A$3,"State","FL","Category",5,"Category2","Four-Year")</f>
        <v>0</v>
      </c>
      <c r="AA14" s="801">
        <f t="shared" si="3"/>
        <v>0</v>
      </c>
      <c r="AB14" s="242">
        <f>+GETPIVOTDATA("Sum of Old-HS % of Total",'Pivot-HS Student % of Undergrad'!$A$3,"State","FL","Category",6,"Category2","Four-Year")</f>
        <v>1.1560693641618498E-3</v>
      </c>
      <c r="AC14" s="801">
        <f t="shared" si="4"/>
        <v>-0.11560693641618498</v>
      </c>
      <c r="AD14" s="242">
        <f>+GETPIVOTDATA("Sum of Old-HS % of Total",'Pivot-HS Student % of Undergrad'!$A$3,"State","FL","Category2","Four-Year")</f>
        <v>4.1975820411697196E-3</v>
      </c>
      <c r="AE14" s="801">
        <f t="shared" si="5"/>
        <v>0.12328211075106707</v>
      </c>
      <c r="AF14" s="1" t="s">
        <v>82</v>
      </c>
    </row>
    <row r="15" spans="1:32" ht="15" customHeight="1">
      <c r="B15" s="5"/>
      <c r="C15" s="167"/>
      <c r="D15" s="186"/>
      <c r="E15" s="167"/>
      <c r="F15" s="186"/>
      <c r="G15" s="167"/>
      <c r="H15" s="186"/>
      <c r="I15" s="167"/>
      <c r="J15" s="186"/>
      <c r="K15" s="167"/>
      <c r="L15" s="186"/>
      <c r="M15" s="167"/>
      <c r="N15" s="186"/>
      <c r="O15" s="167"/>
      <c r="R15" s="241"/>
      <c r="S15" s="801"/>
      <c r="T15" s="242"/>
      <c r="U15" s="801"/>
      <c r="V15" s="242"/>
      <c r="W15" s="801"/>
      <c r="X15" s="242"/>
      <c r="Y15" s="801"/>
      <c r="Z15" s="242"/>
      <c r="AA15" s="801"/>
      <c r="AB15" s="242"/>
      <c r="AC15" s="801"/>
      <c r="AD15" s="242"/>
      <c r="AE15" s="801"/>
    </row>
    <row r="16" spans="1:32" ht="15" customHeight="1">
      <c r="A16" s="1" t="s">
        <v>83</v>
      </c>
      <c r="B16" s="5">
        <f>+GETPIVOTDATA("Undergrad Student Credit Hour FTE - New",'FTE Pivot for regular counts'!$A$2,"State","GA","Category",1,"Category2","Four-Year")</f>
        <v>46655.236666666664</v>
      </c>
      <c r="C16" s="167">
        <f>+GETPIVOTDATA("Sum of New-HS % of Total",'Pivot-HS Student % of Undergrad'!$A$3,"State","GA","Category",1,"Category2","Four-Year")</f>
        <v>1.2699539051386228E-3</v>
      </c>
      <c r="D16" s="186">
        <f>+GETPIVOTDATA("Undergrad Student Credit Hour FTE - New",'FTE Pivot for regular counts'!$A$2,"State","GA","Category",2,"Category2","Four-Year")</f>
        <v>13747.5</v>
      </c>
      <c r="E16" s="167">
        <f>+GETPIVOTDATA("Sum of New-HS % of Total",'Pivot-HS Student % of Undergrad'!$A$3,"State","GA","Category",2,"Category2","Four-Year")</f>
        <v>5.3585500394011032E-3</v>
      </c>
      <c r="F16" s="186">
        <f>+GETPIVOTDATA("Undergrad Student Credit Hour FTE - New",'FTE Pivot for regular counts'!$A$2,"State","GA","Category",3,"Category2","Four-Year")</f>
        <v>36145.98333333333</v>
      </c>
      <c r="G16" s="167">
        <f>+GETPIVOTDATA("Sum of New-HS % of Total",'Pivot-HS Student % of Undergrad'!$A$3,"State","GA","Category",3,"Category2","Four-Year")</f>
        <v>4.3923737031177738E-3</v>
      </c>
      <c r="H16" s="186">
        <f>+GETPIVOTDATA("Undergrad Student Credit Hour FTE - New",'FTE Pivot for regular counts'!$A$2,"State","GA","Category",4,"Category2","Four-Year")</f>
        <v>41607.43</v>
      </c>
      <c r="I16" s="167">
        <f>+GETPIVOTDATA("Sum of New-HS % of Total",'Pivot-HS Student % of Undergrad'!$A$3,"State","GA","Category",4,"Category2","Four-Year")</f>
        <v>4.5504693112103619E-3</v>
      </c>
      <c r="J16" s="186">
        <f>+GETPIVOTDATA("Undergrad Student Credit Hour FTE - New",'FTE Pivot for regular counts'!$A$2,"State","GA","Category",5,"Category2","Four-Year")</f>
        <v>25775.533333333329</v>
      </c>
      <c r="K16" s="167">
        <f>+GETPIVOTDATA("Sum of New-HS % of Total",'Pivot-HS Student % of Undergrad'!$A$3,"State","GA","Category",5,"Category2","Four-Year")</f>
        <v>9.8193894468397679E-3</v>
      </c>
      <c r="L16" s="186">
        <f>+GETPIVOTDATA("Undergrad Student Credit Hour FTE - New",'FTE Pivot for regular counts'!$A$2,"State","GA","Category",6,"Category2","Four-Year")</f>
        <v>10833.400000000001</v>
      </c>
      <c r="M16" s="167">
        <f>+GETPIVOTDATA("Sum of New-HS % of Total",'Pivot-HS Student % of Undergrad'!$A$3,"State","GA","Category",6,"Category2","Four-Year")</f>
        <v>1.1110700857225495E-2</v>
      </c>
      <c r="N16" s="186">
        <f>+GETPIVOTDATA("Undergrad Student Credit Hour FTE - New",'FTE Pivot for regular counts'!$A$2,"State","GA","Category2","Four-Year")</f>
        <v>174765.08333333331</v>
      </c>
      <c r="O16" s="167">
        <f>+GETPIVOTDATA("Sum of New-HS % of Total",'Pivot-HS Student % of Undergrad'!$A$3,"State","GA","Category2","Group1")</f>
        <v>4.8893252418365412E-3</v>
      </c>
      <c r="Q16" s="1" t="s">
        <v>83</v>
      </c>
      <c r="R16" s="241">
        <f>+GETPIVOTDATA("Sum of Old-HS % of Total",'Pivot-HS Student % of Undergrad'!$A$3,"State","GA","Category",1,"Category2","Four-Year")</f>
        <v>1.392504062814299E-3</v>
      </c>
      <c r="S16" s="801">
        <f t="shared" ref="S16:S19" si="7">(C16-R16)*100</f>
        <v>-1.2255015767567625E-2</v>
      </c>
      <c r="T16" s="242">
        <f>+GETPIVOTDATA("Sum of Old-HS % of Total",'Pivot-HS Student % of Undergrad'!$A$3,"State","GA","Category",2,"Category2","Four-Year")</f>
        <v>4.7649534011993018E-3</v>
      </c>
      <c r="U16" s="801">
        <f t="shared" si="0"/>
        <v>5.9359663820180139E-2</v>
      </c>
      <c r="V16" s="242">
        <f>+GETPIVOTDATA("Sum of Old-HS % of Total",'Pivot-HS Student % of Undergrad'!$A$3,"State","GA","Category",3,"Category2","Four-Year")</f>
        <v>4.2170318375157915E-3</v>
      </c>
      <c r="W16" s="801">
        <f t="shared" si="1"/>
        <v>1.7534186560198232E-2</v>
      </c>
      <c r="X16" s="242">
        <f>+GETPIVOTDATA("Sum of Old-HS % of Total",'Pivot-HS Student % of Undergrad'!$A$3,"State","GA","Category",4,"Category2","Four-Year")</f>
        <v>4.1893240085029808E-3</v>
      </c>
      <c r="Y16" s="801">
        <f t="shared" si="2"/>
        <v>3.6114530270738104E-2</v>
      </c>
      <c r="Z16" s="242">
        <f>+GETPIVOTDATA("Sum of Old-HS % of Total",'Pivot-HS Student % of Undergrad'!$A$3,"State","GA","Category",5,"Category2","Four-Year")</f>
        <v>8.7645067698259183E-3</v>
      </c>
      <c r="AA16" s="801">
        <f t="shared" si="3"/>
        <v>0.10548826770138495</v>
      </c>
      <c r="AB16" s="242">
        <f>+GETPIVOTDATA("Sum of Old-HS % of Total",'Pivot-HS Student % of Undergrad'!$A$3,"State","GA","Category",6,"Category2","Four-Year")</f>
        <v>1.0047968061017758E-2</v>
      </c>
      <c r="AC16" s="801">
        <f t="shared" si="4"/>
        <v>0.10627327962077371</v>
      </c>
      <c r="AD16" s="242">
        <f>+GETPIVOTDATA("Sum of Old-HS % of Total",'Pivot-HS Student % of Undergrad'!$A$3,"State","GA","Category2","Four-Year")</f>
        <v>4.4655419639159756E-3</v>
      </c>
      <c r="AE16" s="801">
        <f t="shared" si="5"/>
        <v>4.2378327792056553E-2</v>
      </c>
      <c r="AF16" s="1" t="s">
        <v>83</v>
      </c>
    </row>
    <row r="17" spans="1:32" ht="15" customHeight="1">
      <c r="A17" s="1" t="s">
        <v>84</v>
      </c>
      <c r="B17" s="5">
        <f>+GETPIVOTDATA("Undergrad Student Credit Hour FTE - New",'FTE Pivot for regular counts'!$A$2,"State","KY","Category",1,"Category2","Four-Year")</f>
        <v>31765.800000000003</v>
      </c>
      <c r="C17" s="167">
        <f>+GETPIVOTDATA("Sum of New-HS % of Total",'Pivot-HS Student % of Undergrad'!$A$3,"State","KY","Category",1,"Category2","Four-Year")</f>
        <v>1.3945815940413905E-3</v>
      </c>
      <c r="D17" s="186">
        <f>+GETPIVOTDATA("Undergrad Student Credit Hour FTE - New",'FTE Pivot for regular counts'!$A$2,"State","KY","Category",2,"Category2","Four-Year")</f>
        <v>0</v>
      </c>
      <c r="E17" s="167">
        <f>+GETPIVOTDATA("Sum of New-HS % of Total",'Pivot-HS Student % of Undergrad'!$A$3,"State","KY","Category",2,"Category2","Four-Year")</f>
        <v>0</v>
      </c>
      <c r="F17" s="186">
        <f>+GETPIVOTDATA("Undergrad Student Credit Hour FTE - New",'FTE Pivot for regular counts'!$A$2,"State","KY","Category",3,"Category2","Four-Year")</f>
        <v>41239.73333333333</v>
      </c>
      <c r="G17" s="167">
        <f>+GETPIVOTDATA("Sum of New-HS % of Total",'Pivot-HS Student % of Undergrad'!$A$3,"State","KY","Category",3,"Category2","Four-Year")</f>
        <v>2.1660340513032738E-2</v>
      </c>
      <c r="H17" s="186">
        <f>+GETPIVOTDATA("Undergrad Student Credit Hour FTE - New",'FTE Pivot for regular counts'!$A$2,"State","KY","Category",4,"Category2","Four-Year")</f>
        <v>13283.366666666665</v>
      </c>
      <c r="I17" s="167">
        <f>+GETPIVOTDATA("Sum of New-HS % of Total",'Pivot-HS Student % of Undergrad'!$A$3,"State","KY","Category",4,"Category2","Four-Year")</f>
        <v>1.1533220744740917E-2</v>
      </c>
      <c r="J17" s="186">
        <f>+GETPIVOTDATA("Undergrad Student Credit Hour FTE - New",'FTE Pivot for regular counts'!$A$2,"State","KY","Category",5,"Category2","Four-Year")</f>
        <v>0</v>
      </c>
      <c r="K17" s="167">
        <f>+GETPIVOTDATA("Sum of New-HS % of Total",'Pivot-HS Student % of Undergrad'!$A$3,"State","KY","Category",5,"Category2","Four-Year")</f>
        <v>0</v>
      </c>
      <c r="L17" s="186">
        <f>+GETPIVOTDATA("Undergrad Student Credit Hour FTE - New",'FTE Pivot for regular counts'!$A$2,"State","KY","Category",6,"Category2","Four-Year")</f>
        <v>0</v>
      </c>
      <c r="M17" s="167">
        <f>+GETPIVOTDATA("Sum of New-HS % of Total",'Pivot-HS Student % of Undergrad'!$A$3,"State","KY","Category",6,"Category2","Four-Year")</f>
        <v>0</v>
      </c>
      <c r="N17" s="186">
        <f>+GETPIVOTDATA("Undergrad Student Credit Hour FTE - New",'FTE Pivot for regular counts'!$A$2,"State","KY","Category2","Four-Year")</f>
        <v>86288.9</v>
      </c>
      <c r="O17" s="167">
        <f>+GETPIVOTDATA("Sum of New-HS % of Total",'Pivot-HS Student % of Undergrad'!$A$3,"State","KY","Category2","Group1")</f>
        <v>1.2640868833264379E-2</v>
      </c>
      <c r="Q17" s="1" t="s">
        <v>84</v>
      </c>
      <c r="R17" s="241">
        <f>+GETPIVOTDATA("Sum of Old-HS % of Total",'Pivot-HS Student % of Undergrad'!$A$3,"State","KY","Category",1,"Category2","Four-Year")</f>
        <v>1.1683162485375967E-3</v>
      </c>
      <c r="S17" s="801">
        <f t="shared" si="7"/>
        <v>2.2626534550379378E-2</v>
      </c>
      <c r="T17" s="242">
        <f>+GETPIVOTDATA("Sum of Old-HS % of Total",'Pivot-HS Student % of Undergrad'!$A$3,"State","KY","Category",2,"Category2","Four-Year")</f>
        <v>0</v>
      </c>
      <c r="U17" s="801">
        <f t="shared" si="0"/>
        <v>0</v>
      </c>
      <c r="V17" s="242">
        <f>+GETPIVOTDATA("Sum of Old-HS % of Total",'Pivot-HS Student % of Undergrad'!$A$3,"State","KY","Category",3,"Category2","Four-Year")</f>
        <v>1.431785051125449E-2</v>
      </c>
      <c r="W17" s="801">
        <f t="shared" si="1"/>
        <v>0.7342490001778248</v>
      </c>
      <c r="X17" s="242">
        <f>+GETPIVOTDATA("Sum of Old-HS % of Total",'Pivot-HS Student % of Undergrad'!$A$3,"State","KY","Category",4,"Category2","Four-Year")</f>
        <v>1.1229102299280425E-2</v>
      </c>
      <c r="Y17" s="801">
        <f t="shared" si="2"/>
        <v>3.041184454604922E-2</v>
      </c>
      <c r="Z17" s="242">
        <f>+GETPIVOTDATA("Sum of Old-HS % of Total",'Pivot-HS Student % of Undergrad'!$A$3,"State","KY","Category",5,"Category2","Four-Year")</f>
        <v>0</v>
      </c>
      <c r="AA17" s="801">
        <f t="shared" si="3"/>
        <v>0</v>
      </c>
      <c r="AB17" s="242">
        <f>+GETPIVOTDATA("Sum of Old-HS % of Total",'Pivot-HS Student % of Undergrad'!$A$3,"State","KY","Category",6,"Category2","Four-Year")</f>
        <v>0</v>
      </c>
      <c r="AC17" s="801">
        <f t="shared" si="4"/>
        <v>0</v>
      </c>
      <c r="AD17" s="242">
        <f>+GETPIVOTDATA("Sum of Old-HS % of Total",'Pivot-HS Student % of Undergrad'!$A$3,"State","KY","Category2","Four-Year")</f>
        <v>9.0815559068387636E-3</v>
      </c>
      <c r="AE17" s="801">
        <f t="shared" si="5"/>
        <v>0.35593129264256151</v>
      </c>
      <c r="AF17" s="1" t="s">
        <v>84</v>
      </c>
    </row>
    <row r="18" spans="1:32" ht="15" customHeight="1">
      <c r="A18" s="1" t="s">
        <v>85</v>
      </c>
      <c r="B18" s="5">
        <f>+GETPIVOTDATA("Undergrad Student Credit Hour FTE - New",'FTE Pivot for regular counts'!$A$2,"State","LA","Category",1,"Category2","Four-Year")</f>
        <v>24254.566666666666</v>
      </c>
      <c r="C18" s="167">
        <f>+GETPIVOTDATA("Sum of New-HS % of Total",'Pivot-HS Student % of Undergrad'!$A$3,"State","LA","Category",1,"Category2","Four-Year")</f>
        <v>2.1631665239673077E-3</v>
      </c>
      <c r="D18" s="186">
        <f>+GETPIVOTDATA("Undergrad Student Credit Hour FTE - New",'FTE Pivot for regular counts'!$A$2,"State","LA","Category",2,"Category2","Four-Year")</f>
        <v>26132.3</v>
      </c>
      <c r="E18" s="167">
        <f>+GETPIVOTDATA("Sum of New-HS % of Total",'Pivot-HS Student % of Undergrad'!$A$3,"State","LA","Category",2,"Category2","Four-Year")</f>
        <v>1.3548626577579806E-2</v>
      </c>
      <c r="F18" s="186">
        <f>+GETPIVOTDATA("Undergrad Student Credit Hour FTE - New",'FTE Pivot for regular counts'!$A$2,"State","LA","Category",3,"Category2","Four-Year")</f>
        <v>24473.199999999997</v>
      </c>
      <c r="G18" s="167">
        <f>+GETPIVOTDATA("Sum of New-HS % of Total",'Pivot-HS Student % of Undergrad'!$A$3,"State","LA","Category",3,"Category2","Four-Year")</f>
        <v>2.5173114536172901E-2</v>
      </c>
      <c r="H18" s="186">
        <f>+GETPIVOTDATA("Undergrad Student Credit Hour FTE - New",'FTE Pivot for regular counts'!$A$2,"State","LA","Category",4,"Category2","Four-Year")</f>
        <v>30344.166666666668</v>
      </c>
      <c r="I18" s="167">
        <f>+GETPIVOTDATA("Sum of New-HS % of Total",'Pivot-HS Student % of Undergrad'!$A$3,"State","LA","Category",4,"Category2","Four-Year")</f>
        <v>2.36673715431302E-2</v>
      </c>
      <c r="J18" s="186">
        <f>+GETPIVOTDATA("Undergrad Student Credit Hour FTE - New",'FTE Pivot for regular counts'!$A$2,"State","LA","Category",5,"Category2","Four-Year")</f>
        <v>0</v>
      </c>
      <c r="K18" s="167">
        <f>+GETPIVOTDATA("Sum of New-HS % of Total",'Pivot-HS Student % of Undergrad'!$A$3,"State","LA","Category",5,"Category2","Four-Year")</f>
        <v>0</v>
      </c>
      <c r="L18" s="186">
        <f>+GETPIVOTDATA("Undergrad Student Credit Hour FTE - New",'FTE Pivot for regular counts'!$A$2,"State","LA","Category",6,"Category2","Four-Year")</f>
        <v>1861.8</v>
      </c>
      <c r="M18" s="167">
        <f>+GETPIVOTDATA("Sum of New-HS % of Total",'Pivot-HS Student % of Undergrad'!$A$3,"State","LA","Category",6,"Category2","Four-Year")</f>
        <v>5.2458194578723097E-2</v>
      </c>
      <c r="N18" s="186">
        <f>+GETPIVOTDATA("Undergrad Student Credit Hour FTE - New",'FTE Pivot for regular counts'!$A$2,"State","LA","Category2","Four-Year")</f>
        <v>107066.03333333334</v>
      </c>
      <c r="O18" s="167">
        <f>+GETPIVOTDATA("Sum of New-HS % of Total",'Pivot-HS Student % of Undergrad'!$A$3,"State","LA","Category2","Group1")</f>
        <v>1.7084932579392916E-2</v>
      </c>
      <c r="Q18" s="1" t="s">
        <v>85</v>
      </c>
      <c r="R18" s="241">
        <f>+GETPIVOTDATA("Sum of Old-HS % of Total",'Pivot-HS Student % of Undergrad'!$A$3,"State","LA","Category",1,"Category2","Four-Year")</f>
        <v>1.0300350434324494E-3</v>
      </c>
      <c r="S18" s="801">
        <f t="shared" si="7"/>
        <v>0.11331314805348583</v>
      </c>
      <c r="T18" s="242">
        <f>+GETPIVOTDATA("Sum of Old-HS % of Total",'Pivot-HS Student % of Undergrad'!$A$3,"State","LA","Category",2,"Category2","Four-Year")</f>
        <v>1.0550830272132165E-2</v>
      </c>
      <c r="U18" s="801">
        <f t="shared" si="0"/>
        <v>0.29977963054476414</v>
      </c>
      <c r="V18" s="242">
        <f>+GETPIVOTDATA("Sum of Old-HS % of Total",'Pivot-HS Student % of Undergrad'!$A$3,"State","LA","Category",3,"Category2","Four-Year")</f>
        <v>1.7112864111646905E-2</v>
      </c>
      <c r="W18" s="801">
        <f t="shared" si="1"/>
        <v>0.80602504245259954</v>
      </c>
      <c r="X18" s="242">
        <f>+GETPIVOTDATA("Sum of Old-HS % of Total",'Pivot-HS Student % of Undergrad'!$A$3,"State","LA","Category",4,"Category2","Four-Year")</f>
        <v>1.8786493479248979E-2</v>
      </c>
      <c r="Y18" s="801">
        <f t="shared" si="2"/>
        <v>0.48808780638812216</v>
      </c>
      <c r="Z18" s="242">
        <f>+GETPIVOTDATA("Sum of Old-HS % of Total",'Pivot-HS Student % of Undergrad'!$A$3,"State","LA","Category",5,"Category2","Four-Year")</f>
        <v>0</v>
      </c>
      <c r="AA18" s="801">
        <f t="shared" si="3"/>
        <v>0</v>
      </c>
      <c r="AB18" s="242">
        <f>+GETPIVOTDATA("Sum of Old-HS % of Total",'Pivot-HS Student % of Undergrad'!$A$3,"State","LA","Category",6,"Category2","Four-Year")</f>
        <v>4.4280050969842846E-2</v>
      </c>
      <c r="AC18" s="801">
        <f t="shared" si="4"/>
        <v>0.81781436088802506</v>
      </c>
      <c r="AD18" s="242">
        <f>+GETPIVOTDATA("Sum of Old-HS % of Total",'Pivot-HS Student % of Undergrad'!$A$3,"State","LA","Category2","Four-Year")</f>
        <v>1.2827296409223223E-2</v>
      </c>
      <c r="AE18" s="801">
        <f t="shared" si="5"/>
        <v>0.4257636170169693</v>
      </c>
      <c r="AF18" s="1" t="s">
        <v>85</v>
      </c>
    </row>
    <row r="19" spans="1:32" ht="15" customHeight="1">
      <c r="A19" s="1" t="s">
        <v>86</v>
      </c>
      <c r="B19" s="5">
        <f>+GETPIVOTDATA("Undergrad Student Credit Hour FTE - New",'FTE Pivot for regular counts'!$A$2,"State","MD","Category",1,"Category2","Four-Year")</f>
        <v>26664.633333333335</v>
      </c>
      <c r="C19" s="167">
        <f>+GETPIVOTDATA("Sum of New-HS % of Total",'Pivot-HS Student % of Undergrad'!$A$3,"State","MD","Category",1,"Category2","Four-Year")</f>
        <v>0</v>
      </c>
      <c r="D19" s="186">
        <f>+GETPIVOTDATA("Undergrad Student Credit Hour FTE - New",'FTE Pivot for regular counts'!$A$2,"State","MD","Category",2,"Category2","Four-Year")</f>
        <v>16294.099999999999</v>
      </c>
      <c r="E19" s="167">
        <f>+GETPIVOTDATA("Sum of New-HS % of Total",'Pivot-HS Student % of Undergrad'!$A$3,"State","MD","Category",2,"Category2","Four-Year")</f>
        <v>0</v>
      </c>
      <c r="F19" s="186">
        <f>+GETPIVOTDATA("Undergrad Student Credit Hour FTE - New",'FTE Pivot for regular counts'!$A$2,"State","MD","Category",3,"Category2","Four-Year")</f>
        <v>16876.883333333335</v>
      </c>
      <c r="G19" s="167">
        <f>+GETPIVOTDATA("Sum of New-HS % of Total",'Pivot-HS Student % of Undergrad'!$A$3,"State","MD","Category",3,"Category2","Four-Year")</f>
        <v>0</v>
      </c>
      <c r="H19" s="186">
        <f>+GETPIVOTDATA("Undergrad Student Credit Hour FTE - New",'FTE Pivot for regular counts'!$A$2,"State","MD","Category",4,"Category2","Four-Year")</f>
        <v>25620.083333333336</v>
      </c>
      <c r="I19" s="167">
        <f>+GETPIVOTDATA("Sum of New-HS % of Total",'Pivot-HS Student % of Undergrad'!$A$3,"State","MD","Category",4,"Category2","Four-Year")</f>
        <v>0</v>
      </c>
      <c r="J19" s="186">
        <f>+GETPIVOTDATA("Undergrad Student Credit Hour FTE - New",'FTE Pivot for regular counts'!$A$2,"State","MD","Category",5,"Category2","Four-Year")</f>
        <v>0</v>
      </c>
      <c r="K19" s="167">
        <f>+GETPIVOTDATA("Sum of New-HS % of Total",'Pivot-HS Student % of Undergrad'!$A$3,"State","MD","Category",5,"Category2","Four-Year")</f>
        <v>0</v>
      </c>
      <c r="L19" s="186">
        <f>+GETPIVOTDATA("Undergrad Student Credit Hour FTE - New",'FTE Pivot for regular counts'!$A$2,"State","MD","Category",6,"Category2","Four-Year")</f>
        <v>2171.75</v>
      </c>
      <c r="M19" s="167">
        <f>+GETPIVOTDATA("Sum of New-HS % of Total",'Pivot-HS Student % of Undergrad'!$A$3,"State","MD","Category",6,"Category2","Four-Year")</f>
        <v>0</v>
      </c>
      <c r="N19" s="186">
        <f>+GETPIVOTDATA("Undergrad Student Credit Hour FTE - New",'FTE Pivot for regular counts'!$A$2,"State","MD","Category2","Four-Year")</f>
        <v>87627.450000000012</v>
      </c>
      <c r="O19" s="167">
        <f>+GETPIVOTDATA("Sum of New-HS % of Total",'Pivot-HS Student % of Undergrad'!$A$3,"State","MD","Category2","Group1")</f>
        <v>0</v>
      </c>
      <c r="Q19" s="1" t="s">
        <v>86</v>
      </c>
      <c r="R19" s="241">
        <f>+GETPIVOTDATA("Sum of Old-HS % of Total",'Pivot-HS Student % of Undergrad'!$A$3,"State","MD","Category",1,"Category2","Four-Year")</f>
        <v>0</v>
      </c>
      <c r="S19" s="801">
        <f t="shared" si="7"/>
        <v>0</v>
      </c>
      <c r="T19" s="242">
        <f>+GETPIVOTDATA("Sum of Old-HS % of Total",'Pivot-HS Student % of Undergrad'!$A$3,"State","MD","Category",2,"Category2","Four-Year")</f>
        <v>0</v>
      </c>
      <c r="U19" s="801">
        <f t="shared" si="0"/>
        <v>0</v>
      </c>
      <c r="V19" s="242">
        <f>+GETPIVOTDATA("Sum of Old-HS % of Total",'Pivot-HS Student % of Undergrad'!$A$3,"State","MD","Category",3,"Category2","Four-Year")</f>
        <v>0</v>
      </c>
      <c r="W19" s="801">
        <f t="shared" si="1"/>
        <v>0</v>
      </c>
      <c r="X19" s="242">
        <f>+GETPIVOTDATA("Sum of Old-HS % of Total",'Pivot-HS Student % of Undergrad'!$A$3,"State","MD","Category",4,"Category2","Four-Year")</f>
        <v>0</v>
      </c>
      <c r="Y19" s="801">
        <f t="shared" si="2"/>
        <v>0</v>
      </c>
      <c r="Z19" s="242">
        <f>+GETPIVOTDATA("Sum of Old-HS % of Total",'Pivot-HS Student % of Undergrad'!$A$3,"State","MD","Category",5,"Category2","Four-Year")</f>
        <v>0</v>
      </c>
      <c r="AA19" s="801">
        <f t="shared" si="3"/>
        <v>0</v>
      </c>
      <c r="AB19" s="242">
        <f>+GETPIVOTDATA("Sum of Old-HS % of Total",'Pivot-HS Student % of Undergrad'!$A$3,"State","MD","Category",6,"Category2","Four-Year")</f>
        <v>0</v>
      </c>
      <c r="AC19" s="801">
        <f t="shared" si="4"/>
        <v>0</v>
      </c>
      <c r="AD19" s="242">
        <f>+GETPIVOTDATA("Sum of Old-HS % of Total",'Pivot-HS Student % of Undergrad'!$A$3,"State","MD","Category2","Four-Year")</f>
        <v>0</v>
      </c>
      <c r="AE19" s="801">
        <f t="shared" si="5"/>
        <v>0</v>
      </c>
      <c r="AF19" s="1" t="s">
        <v>86</v>
      </c>
    </row>
    <row r="20" spans="1:32" ht="15" customHeight="1">
      <c r="B20" s="5"/>
      <c r="C20" s="167"/>
      <c r="D20" s="186"/>
      <c r="E20" s="167"/>
      <c r="F20" s="186"/>
      <c r="G20" s="167"/>
      <c r="H20" s="186"/>
      <c r="I20" s="167"/>
      <c r="J20" s="186"/>
      <c r="K20" s="167"/>
      <c r="L20" s="186"/>
      <c r="M20" s="167"/>
      <c r="N20" s="186"/>
      <c r="O20" s="167"/>
      <c r="R20" s="241"/>
      <c r="S20" s="801"/>
      <c r="T20" s="242"/>
      <c r="U20" s="801"/>
      <c r="V20" s="242"/>
      <c r="W20" s="801"/>
      <c r="X20" s="242"/>
      <c r="Y20" s="801"/>
      <c r="Z20" s="242"/>
      <c r="AA20" s="801"/>
      <c r="AB20" s="242"/>
      <c r="AC20" s="801"/>
      <c r="AD20" s="242"/>
      <c r="AE20" s="801"/>
    </row>
    <row r="21" spans="1:32" ht="15" customHeight="1">
      <c r="A21" s="1" t="s">
        <v>87</v>
      </c>
      <c r="B21" s="5">
        <f>+GETPIVOTDATA("Undergrad Student Credit Hour FTE - New",'FTE Pivot for regular counts'!$A$2,"State","MS","Category",1,"Category2","Four-Year")</f>
        <v>26344.1</v>
      </c>
      <c r="C21" s="167">
        <f>+GETPIVOTDATA("Sum of New-HS % of Total",'Pivot-HS Student % of Undergrad'!$A$3,"State","MS","Category",1,"Category2","Four-Year")</f>
        <v>0</v>
      </c>
      <c r="D21" s="186">
        <f>+GETPIVOTDATA("Undergrad Student Credit Hour FTE - New",'FTE Pivot for regular counts'!$A$2,"State","MS","Category",2,"Category2","Four-Year")</f>
        <v>20476.849999999999</v>
      </c>
      <c r="E21" s="167">
        <f>+GETPIVOTDATA("Sum of New-HS % of Total",'Pivot-HS Student % of Undergrad'!$A$3,"State","MS","Category",2,"Category2","Four-Year")</f>
        <v>0</v>
      </c>
      <c r="F21" s="186">
        <f>+GETPIVOTDATA("Undergrad Student Credit Hour FTE - New",'FTE Pivot for regular counts'!$A$2,"State","MS","Category",3,"Category2","Four-Year")</f>
        <v>0</v>
      </c>
      <c r="G21" s="167">
        <f>+GETPIVOTDATA("Sum of New-HS % of Total",'Pivot-HS Student % of Undergrad'!$A$3,"State","MS","Category",3,"Category2","Four-Year")</f>
        <v>0</v>
      </c>
      <c r="H21" s="186">
        <f>+GETPIVOTDATA("Undergrad Student Credit Hour FTE - New",'FTE Pivot for regular counts'!$A$2,"State","MS","Category",4,"Category2","Four-Year")</f>
        <v>7725.4000000000005</v>
      </c>
      <c r="I21" s="167">
        <f>+GETPIVOTDATA("Sum of New-HS % of Total",'Pivot-HS Student % of Undergrad'!$A$3,"State","MS","Category",4,"Category2","Four-Year")</f>
        <v>0</v>
      </c>
      <c r="J21" s="186">
        <f>+GETPIVOTDATA("Undergrad Student Credit Hour FTE - New",'FTE Pivot for regular counts'!$A$2,"State","MS","Category",5,"Category2","Four-Year")</f>
        <v>2254.1333333333332</v>
      </c>
      <c r="K21" s="167">
        <f>+GETPIVOTDATA("Sum of New-HS % of Total",'Pivot-HS Student % of Undergrad'!$A$3,"State","MS","Category",5,"Category2","Four-Year")</f>
        <v>0</v>
      </c>
      <c r="L21" s="186">
        <f>+GETPIVOTDATA("Undergrad Student Credit Hour FTE - New",'FTE Pivot for regular counts'!$A$2,"State","MS","Category",6,"Category2","Four-Year")</f>
        <v>0</v>
      </c>
      <c r="M21" s="167">
        <f>+GETPIVOTDATA("Sum of New-HS % of Total",'Pivot-HS Student % of Undergrad'!$A$3,"State","MS","Category",6,"Category2","Four-Year")</f>
        <v>0</v>
      </c>
      <c r="N21" s="186">
        <f>+GETPIVOTDATA("Undergrad Student Credit Hour FTE - New",'FTE Pivot for regular counts'!$A$2,"State","MS","Category2","Four-Year")</f>
        <v>56800.48333333333</v>
      </c>
      <c r="O21" s="167">
        <f>+GETPIVOTDATA("Sum of New-HS % of Total",'Pivot-HS Student % of Undergrad'!$A$3,"State","MS","Category2","Group1")</f>
        <v>0</v>
      </c>
      <c r="Q21" s="1" t="s">
        <v>87</v>
      </c>
      <c r="R21" s="241">
        <f>+GETPIVOTDATA("Sum of Old-HS % of Total",'Pivot-HS Student % of Undergrad'!$A$3,"State","MS","Category",1,"Category2","Four-Year")</f>
        <v>0</v>
      </c>
      <c r="S21" s="801">
        <f t="shared" ref="S21:S24" si="8">(C21-R21)*100</f>
        <v>0</v>
      </c>
      <c r="T21" s="242">
        <f>+GETPIVOTDATA("Sum of Old-HS % of Total",'Pivot-HS Student % of Undergrad'!$A$3,"State","MS","Category",2,"Category2","Four-Year")</f>
        <v>0</v>
      </c>
      <c r="U21" s="801">
        <f t="shared" si="0"/>
        <v>0</v>
      </c>
      <c r="V21" s="242">
        <f>+GETPIVOTDATA("Sum of Old-HS % of Total",'Pivot-HS Student % of Undergrad'!$A$3,"State","MS","Category",3,"Category2","Four-Year")</f>
        <v>0</v>
      </c>
      <c r="W21" s="801">
        <f t="shared" si="1"/>
        <v>0</v>
      </c>
      <c r="X21" s="242">
        <f>+GETPIVOTDATA("Sum of Old-HS % of Total",'Pivot-HS Student % of Undergrad'!$A$3,"State","MS","Category",4,"Category2","Four-Year")</f>
        <v>0</v>
      </c>
      <c r="Y21" s="801">
        <f t="shared" si="2"/>
        <v>0</v>
      </c>
      <c r="Z21" s="242">
        <f>+GETPIVOTDATA("Sum of Old-HS % of Total",'Pivot-HS Student % of Undergrad'!$A$3,"State","MS","Category",5,"Category2","Four-Year")</f>
        <v>0</v>
      </c>
      <c r="AA21" s="801">
        <f t="shared" si="3"/>
        <v>0</v>
      </c>
      <c r="AB21" s="242">
        <f>+GETPIVOTDATA("Sum of Old-HS % of Total",'Pivot-HS Student % of Undergrad'!$A$3,"State","MS","Category",6,"Category2","Four-Year")</f>
        <v>0</v>
      </c>
      <c r="AC21" s="801">
        <f t="shared" si="4"/>
        <v>0</v>
      </c>
      <c r="AD21" s="242">
        <f>+GETPIVOTDATA("Sum of Old-HS % of Total",'Pivot-HS Student % of Undergrad'!$A$3,"State","MS","Category2","Four-Year")</f>
        <v>0</v>
      </c>
      <c r="AE21" s="801">
        <f t="shared" si="5"/>
        <v>0</v>
      </c>
      <c r="AF21" s="1" t="s">
        <v>87</v>
      </c>
    </row>
    <row r="22" spans="1:32" ht="15" customHeight="1">
      <c r="A22" s="1" t="s">
        <v>88</v>
      </c>
      <c r="B22" s="5">
        <f>+GETPIVOTDATA("Undergrad Student Credit Hour FTE - New",'FTE Pivot for regular counts'!$A$2,"State","NC","Category",1,"Category2","Four-Year")</f>
        <v>55453.9</v>
      </c>
      <c r="C22" s="167">
        <f>+GETPIVOTDATA("Sum of New-HS % of Total",'Pivot-HS Student % of Undergrad'!$A$3,"State","NC","Category",1,"Category2","Four-Year")</f>
        <v>1.7672336841953405E-4</v>
      </c>
      <c r="D22" s="186">
        <f>+GETPIVOTDATA("Undergrad Student Credit Hour FTE - New",'FTE Pivot for regular counts'!$A$2,"State","NC","Category",2,"Category2","Four-Year")</f>
        <v>18881.599999999999</v>
      </c>
      <c r="E22" s="167">
        <f>+GETPIVOTDATA("Sum of New-HS % of Total",'Pivot-HS Student % of Undergrad'!$A$3,"State","NC","Category",2,"Category2","Four-Year")</f>
        <v>0</v>
      </c>
      <c r="F22" s="186">
        <f>+GETPIVOTDATA("Undergrad Student Credit Hour FTE - New",'FTE Pivot for regular counts'!$A$2,"State","NC","Category",3,"Category2","Four-Year")</f>
        <v>69643.766666666663</v>
      </c>
      <c r="G22" s="167">
        <f>+GETPIVOTDATA("Sum of New-HS % of Total",'Pivot-HS Student % of Undergrad'!$A$3,"State","NC","Category",3,"Category2","Four-Year")</f>
        <v>3.2939057001033353E-3</v>
      </c>
      <c r="H22" s="186">
        <f>+GETPIVOTDATA("Undergrad Student Credit Hour FTE - New",'FTE Pivot for regular counts'!$A$2,"State","NC","Category",4,"Category2","Four-Year")</f>
        <v>4946.0666666666666</v>
      </c>
      <c r="I22" s="167">
        <f>+GETPIVOTDATA("Sum of New-HS % of Total",'Pivot-HS Student % of Undergrad'!$A$3,"State","NC","Category",4,"Category2","Four-Year")</f>
        <v>1.9247617635562264E-2</v>
      </c>
      <c r="J22" s="186">
        <f>+GETPIVOTDATA("Undergrad Student Credit Hour FTE - New",'FTE Pivot for regular counts'!$A$2,"State","NC","Category",5,"Category2","Four-Year")</f>
        <v>10963.9</v>
      </c>
      <c r="K22" s="167">
        <f>+GETPIVOTDATA("Sum of New-HS % of Total",'Pivot-HS Student % of Undergrad'!$A$3,"State","NC","Category",5,"Category2","Four-Year")</f>
        <v>0</v>
      </c>
      <c r="L22" s="186">
        <f>+GETPIVOTDATA("Undergrad Student Credit Hour FTE - New",'FTE Pivot for regular counts'!$A$2,"State","NC","Category",6,"Category2","Four-Year")</f>
        <v>6554.7333333333336</v>
      </c>
      <c r="M22" s="167">
        <f>+GETPIVOTDATA("Sum of New-HS % of Total",'Pivot-HS Student % of Undergrad'!$A$3,"State","NC","Category",6,"Category2","Four-Year")</f>
        <v>0</v>
      </c>
      <c r="N22" s="186">
        <f>+GETPIVOTDATA("Undergrad Student Credit Hour FTE - New",'FTE Pivot for regular counts'!$A$2,"State","NC","Category2","Four-Year")</f>
        <v>166443.96666666667</v>
      </c>
      <c r="O22" s="167">
        <f>+GETPIVOTDATA("Sum of New-HS % of Total",'Pivot-HS Student % of Undergrad'!$A$3,"State","NC","Category2","Group1")</f>
        <v>2.0090845387606918E-3</v>
      </c>
      <c r="Q22" s="1" t="s">
        <v>88</v>
      </c>
      <c r="R22" s="241">
        <f>+GETPIVOTDATA("Sum of Old-HS % of Total",'Pivot-HS Student % of Undergrad'!$A$3,"State","NC","Category",1,"Category2","Four-Year")</f>
        <v>4.5687409340752633E-3</v>
      </c>
      <c r="S22" s="801">
        <f t="shared" si="8"/>
        <v>-0.43920175656557298</v>
      </c>
      <c r="T22" s="242">
        <f>+GETPIVOTDATA("Sum of Old-HS % of Total",'Pivot-HS Student % of Undergrad'!$A$3,"State","NC","Category",2,"Category2","Four-Year")</f>
        <v>0</v>
      </c>
      <c r="U22" s="801">
        <f t="shared" si="0"/>
        <v>0</v>
      </c>
      <c r="V22" s="242">
        <f>+GETPIVOTDATA("Sum of Old-HS % of Total",'Pivot-HS Student % of Undergrad'!$A$3,"State","NC","Category",3,"Category2","Four-Year")</f>
        <v>4.8988314296314886E-3</v>
      </c>
      <c r="W22" s="801">
        <f t="shared" si="1"/>
        <v>-0.16049257295281533</v>
      </c>
      <c r="X22" s="242">
        <f>+GETPIVOTDATA("Sum of Old-HS % of Total",'Pivot-HS Student % of Undergrad'!$A$3,"State","NC","Category",4,"Category2","Four-Year")</f>
        <v>2.6838547528464603E-2</v>
      </c>
      <c r="Y22" s="801">
        <f t="shared" si="2"/>
        <v>-0.75909298929023383</v>
      </c>
      <c r="Z22" s="242">
        <f>+GETPIVOTDATA("Sum of Old-HS % of Total",'Pivot-HS Student % of Undergrad'!$A$3,"State","NC","Category",5,"Category2","Four-Year")</f>
        <v>0</v>
      </c>
      <c r="AA22" s="801">
        <f t="shared" si="3"/>
        <v>0</v>
      </c>
      <c r="AB22" s="242">
        <f>+GETPIVOTDATA("Sum of Old-HS % of Total",'Pivot-HS Student % of Undergrad'!$A$3,"State","NC","Category",6,"Category2","Four-Year")</f>
        <v>1.2394082442868711E-3</v>
      </c>
      <c r="AC22" s="801">
        <f t="shared" si="4"/>
        <v>-0.12394082442868712</v>
      </c>
      <c r="AD22" s="242">
        <f>+GETPIVOTDATA("Sum of Old-HS % of Total",'Pivot-HS Student % of Undergrad'!$A$3,"State","NC","Category2","Four-Year")</f>
        <v>4.397026507292452E-3</v>
      </c>
      <c r="AE22" s="801">
        <f t="shared" si="5"/>
        <v>-0.23879419685317602</v>
      </c>
      <c r="AF22" s="1" t="s">
        <v>88</v>
      </c>
    </row>
    <row r="23" spans="1:32" ht="15" customHeight="1">
      <c r="A23" s="1" t="s">
        <v>89</v>
      </c>
      <c r="B23" s="5">
        <f>+GETPIVOTDATA("Undergrad Student Credit Hour FTE - New",'FTE Pivot for regular counts'!$A$2,"State","OK","Category",1,"Category2","Four-Year")</f>
        <v>36359.966666666667</v>
      </c>
      <c r="C23" s="167">
        <f>+GETPIVOTDATA("Sum of New-HS % of Total",'Pivot-HS Student % of Undergrad'!$A$3,"State","OK","Category",1,"Category2","Four-Year")</f>
        <v>1.7986815169430848E-3</v>
      </c>
      <c r="D23" s="186">
        <f>+GETPIVOTDATA("Undergrad Student Credit Hour FTE - New",'FTE Pivot for regular counts'!$A$2,"State","OK","Category",2,"Category2","Four-Year")</f>
        <v>0</v>
      </c>
      <c r="E23" s="167"/>
      <c r="F23" s="186">
        <f>+GETPIVOTDATA("Undergrad Student Credit Hour FTE - New",'FTE Pivot for regular counts'!$A$2,"State","OK","Category",3,"Category2","Four-Year")</f>
        <v>19483.400000000001</v>
      </c>
      <c r="G23" s="167">
        <f>+GETPIVOTDATA("Sum of New-HS % of Total",'Pivot-HS Student % of Undergrad'!$A$3,"State","OK","Category",3,"Category2","Four-Year")</f>
        <v>4.340447081447112E-3</v>
      </c>
      <c r="H23" s="186">
        <f>+GETPIVOTDATA("Undergrad Student Credit Hour FTE - New",'FTE Pivot for regular counts'!$A$2,"State","OK","Category",4,"Category2","Four-Year")</f>
        <v>0</v>
      </c>
      <c r="I23" s="167">
        <f>+GETPIVOTDATA("Sum of New-HS % of Total",'Pivot-HS Student % of Undergrad'!$A$3,"State","OK","Category",4,"Category2","Four-Year")</f>
        <v>0</v>
      </c>
      <c r="J23" s="186">
        <f>+GETPIVOTDATA("Undergrad Student Credit Hour FTE - New",'FTE Pivot for regular counts'!$A$2,"State","OK","Category",5,"Category2","Four-Year")</f>
        <v>19563.066666666666</v>
      </c>
      <c r="K23" s="167">
        <f>+GETPIVOTDATA("Sum of New-HS % of Total",'Pivot-HS Student % of Undergrad'!$A$3,"State","OK","Category",5,"Category2","Four-Year")</f>
        <v>1.1424589191878574E-2</v>
      </c>
      <c r="L23" s="186">
        <f>+GETPIVOTDATA("Undergrad Student Credit Hour FTE - New",'FTE Pivot for regular counts'!$A$2,"State","OK","Category",6,"Category2","Four-Year")</f>
        <v>5744.1</v>
      </c>
      <c r="M23" s="167">
        <f>+GETPIVOTDATA("Sum of New-HS % of Total",'Pivot-HS Student % of Undergrad'!$A$3,"State","OK","Category",6,"Category2","Four-Year")</f>
        <v>2.9462114749627153E-2</v>
      </c>
      <c r="N23" s="186">
        <f>+GETPIVOTDATA("Undergrad Student Credit Hour FTE - New",'FTE Pivot for regular counts'!$A$2,"State","OK","Category2","Four-Year")</f>
        <v>81150.53333333334</v>
      </c>
      <c r="O23" s="167">
        <f>+GETPIVOTDATA("Sum of New-HS % of Total",'Pivot-HS Student % of Undergrad'!$A$3,"State","OK","Category2","Group1")</f>
        <v>6.6875715748017268E-3</v>
      </c>
      <c r="Q23" s="1" t="s">
        <v>89</v>
      </c>
      <c r="R23" s="241">
        <f>+GETPIVOTDATA("Sum of Old-HS % of Total",'Pivot-HS Student % of Undergrad'!$A$3,"State","OK","Category",1,"Category2","Four-Year")</f>
        <v>9.2286438461258811E-4</v>
      </c>
      <c r="S23" s="801">
        <f t="shared" si="8"/>
        <v>8.7581713233049668E-2</v>
      </c>
      <c r="T23" s="242">
        <f>+GETPIVOTDATA("Sum of Old-HS % of Total",'Pivot-HS Student % of Undergrad'!$A$3,"State","OK","Category",2,"Category2","Four-Year")</f>
        <v>0</v>
      </c>
      <c r="U23" s="801">
        <f t="shared" si="0"/>
        <v>0</v>
      </c>
      <c r="V23" s="242">
        <f>+GETPIVOTDATA("Sum of Old-HS % of Total",'Pivot-HS Student % of Undergrad'!$A$3,"State","OK","Category",3,"Category2","Four-Year")</f>
        <v>2.5990459065465114E-3</v>
      </c>
      <c r="W23" s="801">
        <f t="shared" si="1"/>
        <v>0.17414011749006006</v>
      </c>
      <c r="X23" s="242">
        <f>+GETPIVOTDATA("Sum of Old-HS % of Total",'Pivot-HS Student % of Undergrad'!$A$3,"State","OK","Category",4,"Category2","Four-Year")</f>
        <v>0</v>
      </c>
      <c r="Y23" s="801">
        <f t="shared" si="2"/>
        <v>0</v>
      </c>
      <c r="Z23" s="242">
        <f>+GETPIVOTDATA("Sum of Old-HS % of Total",'Pivot-HS Student % of Undergrad'!$A$3,"State","OK","Category",5,"Category2","Four-Year")</f>
        <v>4.8425611691937159E-3</v>
      </c>
      <c r="AA23" s="801">
        <f t="shared" si="3"/>
        <v>0.65820280226848582</v>
      </c>
      <c r="AB23" s="242">
        <f>+GETPIVOTDATA("Sum of Old-HS % of Total",'Pivot-HS Student % of Undergrad'!$A$3,"State","OK","Category",6,"Category2","Four-Year")</f>
        <v>1.2211074610080204E-2</v>
      </c>
      <c r="AC23" s="801">
        <f t="shared" si="4"/>
        <v>1.7251040139546949</v>
      </c>
      <c r="AD23" s="242">
        <f>+GETPIVOTDATA("Sum of Old-HS % of Total",'Pivot-HS Student % of Undergrad'!$A$3,"State","OK","Category2","Four-Year")</f>
        <v>3.0735610335709462E-3</v>
      </c>
      <c r="AE23" s="801">
        <f t="shared" si="5"/>
        <v>0.36140105412307805</v>
      </c>
      <c r="AF23" s="1" t="s">
        <v>89</v>
      </c>
    </row>
    <row r="24" spans="1:32" ht="15" customHeight="1">
      <c r="A24" s="1" t="s">
        <v>90</v>
      </c>
      <c r="B24" s="5">
        <f>+GETPIVOTDATA("Undergrad Student Credit Hour FTE - New",'FTE Pivot for regular counts'!$A$2,"State","SC","Category",1,"Category2","Four-Year")</f>
        <v>37938.633333333331</v>
      </c>
      <c r="C24" s="211">
        <f>+GETPIVOTDATA("Sum of New-HS % of Total",'Pivot-HS Student % of Undergrad'!$A$3,"State","SC","Category",1,"Category2","Four-Year")</f>
        <v>2.1593282224198672E-4</v>
      </c>
      <c r="D24" s="186">
        <f>+GETPIVOTDATA("Undergrad Student Credit Hour FTE - New",'FTE Pivot for regular counts'!$A$2,"State","SC","Category",2,"Category2","Four-Year")</f>
        <v>0</v>
      </c>
      <c r="E24" s="167">
        <f>+GETPIVOTDATA("Sum of New-HS % of Total",'Pivot-HS Student % of Undergrad'!$A$3,"State","SC","Category",2,"Category2","Four-Year")</f>
        <v>0</v>
      </c>
      <c r="F24" s="186">
        <f>+GETPIVOTDATA("Undergrad Student Credit Hour FTE - New",'FTE Pivot for regular counts'!$A$2,"State","SC","Category",3,"Category2","Four-Year")</f>
        <v>14760.600000000002</v>
      </c>
      <c r="G24" s="167">
        <f>+GETPIVOTDATA("Sum of New-HS % of Total",'Pivot-HS Student % of Undergrad'!$A$3,"State","SC","Category",3,"Category2","Four-Year")</f>
        <v>2.8973528628014216E-3</v>
      </c>
      <c r="H24" s="186">
        <f>+GETPIVOTDATA("Undergrad Student Credit Hour FTE - New",'FTE Pivot for regular counts'!$A$2,"State","SC","Category",4,"Category2","Four-Year")</f>
        <v>2907.9333333333334</v>
      </c>
      <c r="I24" s="167">
        <f>+GETPIVOTDATA("Sum of New-HS % of Total",'Pivot-HS Student % of Undergrad'!$A$3,"State","SC","Category",4,"Category2","Four-Year")</f>
        <v>2.6020770765033587E-3</v>
      </c>
      <c r="J24" s="186">
        <f>+GETPIVOTDATA("Undergrad Student Credit Hour FTE - New",'FTE Pivot for regular counts'!$A$2,"State","SC","Category",5,"Category2","Four-Year")</f>
        <v>15491.533333333335</v>
      </c>
      <c r="K24" s="167">
        <f>+GETPIVOTDATA("Sum of New-HS % of Total",'Pivot-HS Student % of Undergrad'!$A$3,"State","SC","Category",5,"Category2","Four-Year")</f>
        <v>4.8140379162255218E-3</v>
      </c>
      <c r="L24" s="186">
        <f>+GETPIVOTDATA("Undergrad Student Credit Hour FTE - New",'FTE Pivot for regular counts'!$A$2,"State","SC","Category",6,"Category2","Four-Year")</f>
        <v>12260.933333333334</v>
      </c>
      <c r="M24" s="167">
        <f>+GETPIVOTDATA("Sum of New-HS % of Total",'Pivot-HS Student % of Undergrad'!$A$3,"State","SC","Category",6,"Category2","Four-Year")</f>
        <v>7.9330556673227696E-3</v>
      </c>
      <c r="N24" s="186">
        <f>+GETPIVOTDATA("Undergrad Student Credit Hour FTE - New",'FTE Pivot for regular counts'!$A$2,"State","SC","Category2","Four-Year")</f>
        <v>83359.633333333346</v>
      </c>
      <c r="O24" s="167">
        <f>+GETPIVOTDATA("Sum of New-HS % of Total",'Pivot-HS Student % of Undergrad'!$A$3,"State","SC","Category2","Group1")</f>
        <v>3.2769826869480192E-3</v>
      </c>
      <c r="Q24" s="1" t="s">
        <v>90</v>
      </c>
      <c r="R24" s="241">
        <f>+GETPIVOTDATA("Sum of Old-HS % of Total",'Pivot-HS Student % of Undergrad'!$A$3,"State","SC","Category",1,"Category2","Four-Year")</f>
        <v>3.1326029227026251E-4</v>
      </c>
      <c r="S24" s="801">
        <f t="shared" si="8"/>
        <v>-9.7327470028275801E-3</v>
      </c>
      <c r="T24" s="242">
        <f>+GETPIVOTDATA("Sum of Old-HS % of Total",'Pivot-HS Student % of Undergrad'!$A$3,"State","SC","Category",2,"Category2","Four-Year")</f>
        <v>0</v>
      </c>
      <c r="U24" s="801">
        <f t="shared" si="0"/>
        <v>0</v>
      </c>
      <c r="V24" s="242">
        <f>+GETPIVOTDATA("Sum of Old-HS % of Total",'Pivot-HS Student % of Undergrad'!$A$3,"State","SC","Category",3,"Category2","Four-Year")</f>
        <v>3.3327288342634635E-3</v>
      </c>
      <c r="W24" s="801">
        <f t="shared" si="1"/>
        <v>-4.3537597146204185E-2</v>
      </c>
      <c r="X24" s="242">
        <f>+GETPIVOTDATA("Sum of Old-HS % of Total",'Pivot-HS Student % of Undergrad'!$A$3,"State","SC","Category",4,"Category2","Four-Year")</f>
        <v>8.0348409334389124E-4</v>
      </c>
      <c r="Y24" s="801">
        <f t="shared" si="2"/>
        <v>0.17985929831594674</v>
      </c>
      <c r="Z24" s="242">
        <f>+GETPIVOTDATA("Sum of Old-HS % of Total",'Pivot-HS Student % of Undergrad'!$A$3,"State","SC","Category",5,"Category2","Four-Year")</f>
        <v>2.9134013519359404E-3</v>
      </c>
      <c r="AA24" s="801">
        <f t="shared" si="3"/>
        <v>0.19006365642895814</v>
      </c>
      <c r="AB24" s="242">
        <f>+GETPIVOTDATA("Sum of Old-HS % of Total",'Pivot-HS Student % of Undergrad'!$A$3,"State","SC","Category",6,"Category2","Four-Year")</f>
        <v>7.3217028489110762E-3</v>
      </c>
      <c r="AC24" s="801">
        <f t="shared" si="4"/>
        <v>6.1135281841169335E-2</v>
      </c>
      <c r="AD24" s="242">
        <f>+GETPIVOTDATA("Sum of Old-HS % of Total",'Pivot-HS Student % of Undergrad'!$A$3,"State","SC","Category2","Four-Year")</f>
        <v>2.8928086341036526E-3</v>
      </c>
      <c r="AE24" s="801">
        <f t="shared" si="5"/>
        <v>3.8417405284436663E-2</v>
      </c>
      <c r="AF24" s="1" t="s">
        <v>90</v>
      </c>
    </row>
    <row r="25" spans="1:32" ht="15" customHeight="1">
      <c r="B25" s="5"/>
      <c r="C25" s="211"/>
      <c r="D25" s="186"/>
      <c r="E25" s="167"/>
      <c r="F25" s="186"/>
      <c r="G25" s="167"/>
      <c r="H25" s="186"/>
      <c r="I25" s="167"/>
      <c r="J25" s="186"/>
      <c r="K25" s="167"/>
      <c r="L25" s="186"/>
      <c r="M25" s="167"/>
      <c r="N25" s="186"/>
      <c r="O25" s="167"/>
      <c r="R25" s="241"/>
      <c r="S25" s="801"/>
      <c r="T25" s="242"/>
      <c r="U25" s="801"/>
      <c r="V25" s="242"/>
      <c r="W25" s="801"/>
      <c r="X25" s="242"/>
      <c r="Y25" s="801"/>
      <c r="Z25" s="242"/>
      <c r="AA25" s="801"/>
      <c r="AB25" s="242"/>
      <c r="AC25" s="801"/>
      <c r="AD25" s="242"/>
      <c r="AE25" s="801"/>
    </row>
    <row r="26" spans="1:32" ht="15" customHeight="1">
      <c r="A26" s="1" t="s">
        <v>91</v>
      </c>
      <c r="B26" s="5">
        <f>+GETPIVOTDATA("Undergrad Student Credit Hour FTE - New",'FTE Pivot for regular counts'!$A$2,"State","TN","Category",1,"Category2","Four-Year")</f>
        <v>32852.566666666666</v>
      </c>
      <c r="C26" s="167">
        <f>+GETPIVOTDATA("Sum of New-HS % of Total",'Pivot-HS Student % of Undergrad'!$A$3,"State","TN","Category",1,"Category2","Four-Year")</f>
        <v>0</v>
      </c>
      <c r="D26" s="186">
        <f>+GETPIVOTDATA("Undergrad Student Credit Hour FTE - New",'FTE Pivot for regular counts'!$A$2,"State","TN","Category",2,"Category2","Four-Year")</f>
        <v>6188.5666666666666</v>
      </c>
      <c r="E26" s="167">
        <f>+GETPIVOTDATA("Sum of New-HS % of Total",'Pivot-HS Student % of Undergrad'!$A$3,"State","TN","Category",2,"Category2","Four-Year")</f>
        <v>0</v>
      </c>
      <c r="F26" s="186">
        <f>+GETPIVOTDATA("Undergrad Student Credit Hour FTE - New",'FTE Pivot for regular counts'!$A$2,"State","TN","Category",3,"Category2","Four-Year")</f>
        <v>57744.666666666664</v>
      </c>
      <c r="G26" s="167">
        <f>+GETPIVOTDATA("Sum of New-HS % of Total",'Pivot-HS Student % of Undergrad'!$A$3,"State","TN","Category",3,"Category2","Four-Year")</f>
        <v>6.4118984017011655E-3</v>
      </c>
      <c r="H26" s="186">
        <f>+GETPIVOTDATA("Undergrad Student Credit Hour FTE - New",'FTE Pivot for regular counts'!$A$2,"State","TN","Category",4,"Category2","Four-Year")</f>
        <v>0</v>
      </c>
      <c r="I26" s="167">
        <f>+GETPIVOTDATA("Sum of New-HS % of Total",'Pivot-HS Student % of Undergrad'!$A$3,"State","TN","Category",4,"Category2","Four-Year")</f>
        <v>0</v>
      </c>
      <c r="J26" s="186">
        <f>+GETPIVOTDATA("Undergrad Student Credit Hour FTE - New",'FTE Pivot for regular counts'!$A$2,"State","TN","Category",5,"Category2","Four-Year")</f>
        <v>6539.9</v>
      </c>
      <c r="K26" s="167">
        <f>+GETPIVOTDATA("Sum of New-HS % of Total",'Pivot-HS Student % of Undergrad'!$A$3,"State","TN","Category",5,"Category2","Four-Year")</f>
        <v>2.8323572735566804E-2</v>
      </c>
      <c r="L26" s="186">
        <f>+GETPIVOTDATA("Undergrad Student Credit Hour FTE - New",'FTE Pivot for regular counts'!$A$2,"State","TN","Category",6,"Category2","Four-Year")</f>
        <v>0</v>
      </c>
      <c r="M26" s="167">
        <f>+GETPIVOTDATA("Sum of New-HS % of Total",'Pivot-HS Student % of Undergrad'!$A$3,"State","TN","Category",6,"Category2","Four-Year")</f>
        <v>0</v>
      </c>
      <c r="N26" s="186">
        <f>+GETPIVOTDATA("Undergrad Student Credit Hour FTE - New",'FTE Pivot for regular counts'!$A$2,"State","TN","Category2","Four-Year")</f>
        <v>103325.69999999998</v>
      </c>
      <c r="O26" s="167">
        <f>+GETPIVOTDATA("Sum of New-HS % of Total",'Pivot-HS Student % of Undergrad'!$A$3,"State","TN","Category2","Group1")</f>
        <v>1.6134941851786513E-2</v>
      </c>
      <c r="Q26" s="1" t="s">
        <v>91</v>
      </c>
      <c r="R26" s="241">
        <f>+GETPIVOTDATA("Sum of Old-HS % of Total",'Pivot-HS Student % of Undergrad'!$A$3,"State","TN","Category",1,"Category2","Four-Year")</f>
        <v>0</v>
      </c>
      <c r="S26" s="801">
        <f t="shared" ref="S26:S29" si="9">(C26-R26)*100</f>
        <v>0</v>
      </c>
      <c r="T26" s="242">
        <f>+GETPIVOTDATA("Sum of Old-HS % of Total",'Pivot-HS Student % of Undergrad'!$A$3,"State","TN","Category",2,"Category2","Four-Year")</f>
        <v>0</v>
      </c>
      <c r="U26" s="801">
        <f t="shared" si="0"/>
        <v>0</v>
      </c>
      <c r="V26" s="242">
        <f>+GETPIVOTDATA("Sum of Old-HS % of Total",'Pivot-HS Student % of Undergrad'!$A$3,"State","TN","Category",3,"Category2","Four-Year")</f>
        <v>5.2480996090144812E-3</v>
      </c>
      <c r="W26" s="801">
        <f t="shared" si="1"/>
        <v>0.11637987926866843</v>
      </c>
      <c r="X26" s="242">
        <f>+GETPIVOTDATA("Sum of Old-HS % of Total",'Pivot-HS Student % of Undergrad'!$A$3,"State","TN","Category",4,"Category2","Four-Year")</f>
        <v>0</v>
      </c>
      <c r="Y26" s="801">
        <f t="shared" si="2"/>
        <v>0</v>
      </c>
      <c r="Z26" s="242">
        <f>+GETPIVOTDATA("Sum of Old-HS % of Total",'Pivot-HS Student % of Undergrad'!$A$3,"State","TN","Category",5,"Category2","Four-Year")</f>
        <v>3.076002569874596E-2</v>
      </c>
      <c r="AA26" s="801">
        <f t="shared" si="3"/>
        <v>-0.24364529631791565</v>
      </c>
      <c r="AB26" s="242">
        <f>+GETPIVOTDATA("Sum of Old-HS % of Total",'Pivot-HS Student % of Undergrad'!$A$3,"State","TN","Category",6,"Category2","Four-Year")</f>
        <v>0</v>
      </c>
      <c r="AC26" s="801">
        <f t="shared" si="4"/>
        <v>0</v>
      </c>
      <c r="AD26" s="242">
        <f>+GETPIVOTDATA("Sum of Old-HS % of Total",'Pivot-HS Student % of Undergrad'!$A$3,"State","TN","Category2","Four-Year")</f>
        <v>1.700985590348043E-2</v>
      </c>
      <c r="AE26" s="801">
        <f t="shared" si="5"/>
        <v>-8.7491405169391745E-2</v>
      </c>
      <c r="AF26" s="1" t="s">
        <v>91</v>
      </c>
    </row>
    <row r="27" spans="1:32" ht="15" customHeight="1">
      <c r="A27" s="1" t="s">
        <v>92</v>
      </c>
      <c r="B27" s="5">
        <f>+GETPIVOTDATA("Undergrad Student Credit Hour FTE - New",'FTE Pivot for regular counts'!$A$2,"State","TX","Category",1,"Category2","Four-Year")</f>
        <v>175886.23333333337</v>
      </c>
      <c r="C27" s="167">
        <f>+GETPIVOTDATA("Sum of New-HS % of Total",'Pivot-HS Student % of Undergrad'!$A$3,"State","TX","Category",1,"Category2","Four-Year")</f>
        <v>1.1278123529470849E-3</v>
      </c>
      <c r="D27" s="186">
        <f>+GETPIVOTDATA("Undergrad Student Credit Hour FTE - New",'FTE Pivot for regular counts'!$A$2,"State","TX","Category",2,"Category2","Four-Year")</f>
        <v>44420.633333333331</v>
      </c>
      <c r="E27" s="167">
        <f>+GETPIVOTDATA("Sum of New-HS % of Total",'Pivot-HS Student % of Undergrad'!$A$3,"State","TX","Category",2,"Category2","Four-Year")</f>
        <v>9.1624087604934344E-4</v>
      </c>
      <c r="F27" s="186">
        <f>+GETPIVOTDATA("Undergrad Student Credit Hour FTE - New",'FTE Pivot for regular counts'!$A$2,"State","TX","Category",3,"Category2","Four-Year")</f>
        <v>142673.56666666665</v>
      </c>
      <c r="G27" s="167">
        <f>+GETPIVOTDATA("Sum of New-HS % of Total",'Pivot-HS Student % of Undergrad'!$A$3,"State","TX","Category",3,"Category2","Four-Year")</f>
        <v>8.3563715493199277E-3</v>
      </c>
      <c r="H27" s="186">
        <f>+GETPIVOTDATA("Undergrad Student Credit Hour FTE - New",'FTE Pivot for regular counts'!$A$2,"State","TX","Category",4,"Category2","Four-Year")</f>
        <v>3033.3666666666668</v>
      </c>
      <c r="I27" s="167">
        <f>+GETPIVOTDATA("Sum of New-HS % of Total",'Pivot-HS Student % of Undergrad'!$A$3,"State","TX","Category",4,"Category2","Four-Year")</f>
        <v>1.7582224371160757E-4</v>
      </c>
      <c r="J27" s="186">
        <f>+GETPIVOTDATA("Undergrad Student Credit Hour FTE - New",'FTE Pivot for regular counts'!$A$2,"State","TX","Category",5,"Category2","Four-Year")</f>
        <v>9496.5333333333347</v>
      </c>
      <c r="K27" s="167">
        <f>+GETPIVOTDATA("Sum of New-HS % of Total",'Pivot-HS Student % of Undergrad'!$A$3,"State","TX","Category",5,"Category2","Four-Year")</f>
        <v>1.3092496911153544E-3</v>
      </c>
      <c r="L27" s="186">
        <f>+GETPIVOTDATA("Undergrad Student Credit Hour FTE - New",'FTE Pivot for regular counts'!$A$2,"State","TX","Category",6,"Category2","Four-Year")</f>
        <v>1805.5333333333333</v>
      </c>
      <c r="M27" s="167">
        <f>+GETPIVOTDATA("Sum of New-HS % of Total",'Pivot-HS Student % of Undergrad'!$A$3,"State","TX","Category",6,"Category2","Four-Year")</f>
        <v>0</v>
      </c>
      <c r="N27" s="186">
        <f>+GETPIVOTDATA("Undergrad Student Credit Hour FTE - New",'FTE Pivot for regular counts'!$A$2,"State","TX","Category2","Four-Year")</f>
        <v>377315.86666666664</v>
      </c>
      <c r="O27" s="167">
        <f>+GETPIVOTDATA("Sum of New-HS % of Total",'Pivot-HS Student % of Undergrad'!$A$3,"State","TX","Category2","Group1")</f>
        <v>3.8277390225483934E-3</v>
      </c>
      <c r="Q27" s="1" t="s">
        <v>92</v>
      </c>
      <c r="R27" s="241">
        <f>+GETPIVOTDATA("Sum of Old-HS % of Total",'Pivot-HS Student % of Undergrad'!$A$3,"State","TX","Category",1,"Category2","Four-Year")</f>
        <v>1.392024849498295E-3</v>
      </c>
      <c r="S27" s="801">
        <f t="shared" si="9"/>
        <v>-2.6421249655121007E-2</v>
      </c>
      <c r="T27" s="242">
        <f>+GETPIVOTDATA("Sum of Old-HS % of Total",'Pivot-HS Student % of Undergrad'!$A$3,"State","TX","Category",2,"Category2","Four-Year")</f>
        <v>3.6987386031342852E-3</v>
      </c>
      <c r="U27" s="801">
        <f t="shared" si="0"/>
        <v>-0.27824977270849416</v>
      </c>
      <c r="V27" s="242">
        <f>+GETPIVOTDATA("Sum of Old-HS % of Total",'Pivot-HS Student % of Undergrad'!$A$3,"State","TX","Category",3,"Category2","Four-Year")</f>
        <v>7.4747763465963539E-3</v>
      </c>
      <c r="W27" s="801">
        <f t="shared" si="1"/>
        <v>8.8159520272357378E-2</v>
      </c>
      <c r="X27" s="242">
        <f>+GETPIVOTDATA("Sum of Old-HS % of Total",'Pivot-HS Student % of Undergrad'!$A$3,"State","TX","Category",4,"Category2","Four-Year")</f>
        <v>1.9489631516033469E-4</v>
      </c>
      <c r="Y27" s="801">
        <f t="shared" si="2"/>
        <v>-1.9074071448727118E-3</v>
      </c>
      <c r="Z27" s="242">
        <f>+GETPIVOTDATA("Sum of Old-HS % of Total",'Pivot-HS Student % of Undergrad'!$A$3,"State","TX","Category",5,"Category2","Four-Year")</f>
        <v>1.9273430706160043E-3</v>
      </c>
      <c r="AA27" s="801">
        <f t="shared" si="3"/>
        <v>-6.1809337950064998E-2</v>
      </c>
      <c r="AB27" s="242">
        <f>+GETPIVOTDATA("Sum of Old-HS % of Total",'Pivot-HS Student % of Undergrad'!$A$3,"State","TX","Category",6,"Category2","Four-Year")</f>
        <v>0</v>
      </c>
      <c r="AC27" s="801">
        <f t="shared" si="4"/>
        <v>0</v>
      </c>
      <c r="AD27" s="242">
        <f>+GETPIVOTDATA("Sum of Old-HS % of Total",'Pivot-HS Student % of Undergrad'!$A$3,"State","TX","Category2","Four-Year")</f>
        <v>3.9702709811529199E-3</v>
      </c>
      <c r="AE27" s="801">
        <f t="shared" si="5"/>
        <v>-1.4253195860452648E-2</v>
      </c>
      <c r="AF27" s="1" t="s">
        <v>92</v>
      </c>
    </row>
    <row r="28" spans="1:32" ht="15" customHeight="1">
      <c r="A28" s="1" t="s">
        <v>93</v>
      </c>
      <c r="B28" s="5">
        <f>+GETPIVOTDATA("Undergrad Student Credit Hour FTE - New",'FTE Pivot for regular counts'!$A$2,"State","VA","Category",1,"Category2","Four-Year")</f>
        <v>76295.200000000012</v>
      </c>
      <c r="C28" s="167">
        <f>+GETPIVOTDATA("Sum of New-HS % of Total",'Pivot-HS Student % of Undergrad'!$A$3,"State","VA","Category",1,"Category2","Four-Year")</f>
        <v>1.071015389347342E-2</v>
      </c>
      <c r="D28" s="186">
        <f>+GETPIVOTDATA("Undergrad Student Credit Hour FTE - New",'FTE Pivot for regular counts'!$A$2,"State","VA","Category",2,"Category2","Four-Year")</f>
        <v>27516.916666666668</v>
      </c>
      <c r="E28" s="167">
        <f>+GETPIVOTDATA("Sum of New-HS % of Total",'Pivot-HS Student % of Undergrad'!$A$3,"State","VA","Category",2,"Category2","Four-Year")</f>
        <v>9.1870758291111836E-3</v>
      </c>
      <c r="F28" s="186">
        <f>+GETPIVOTDATA("Undergrad Student Credit Hour FTE - New",'FTE Pivot for regular counts'!$A$2,"State","VA","Category",3,"Category2","Four-Year")</f>
        <v>23152.966666666667</v>
      </c>
      <c r="G28" s="167">
        <f>+GETPIVOTDATA("Sum of New-HS % of Total",'Pivot-HS Student % of Undergrad'!$A$3,"State","VA","Category",3,"Category2","Four-Year")</f>
        <v>8.816724710584244E-3</v>
      </c>
      <c r="H28" s="186">
        <f>+GETPIVOTDATA("Undergrad Student Credit Hour FTE - New",'FTE Pivot for regular counts'!$A$2,"State","VA","Category",4,"Category2","Four-Year")</f>
        <v>17628.966666666667</v>
      </c>
      <c r="I28" s="211">
        <f>+GETPIVOTDATA("Sum of New-HS % of Total",'Pivot-HS Student % of Undergrad'!$A$3,"State","VA","Category",4,"Category2","Four-Year")</f>
        <v>4.8405181623426593E-4</v>
      </c>
      <c r="J28" s="186">
        <f>+GETPIVOTDATA("Undergrad Student Credit Hour FTE - New",'FTE Pivot for regular counts'!$A$2,"State","VA","Category",5,"Category2","Four-Year")</f>
        <v>8915.3333333333321</v>
      </c>
      <c r="K28" s="211">
        <f>+GETPIVOTDATA("Sum of New-HS % of Total",'Pivot-HS Student % of Undergrad'!$A$3,"State","VA","Category",5,"Category2","Four-Year")</f>
        <v>1.1216630524190533E-4</v>
      </c>
      <c r="L28" s="186">
        <f>+GETPIVOTDATA("Undergrad Student Credit Hour FTE - New",'FTE Pivot for regular counts'!$A$2,"State","VA","Category",6,"Category2","Four-Year")</f>
        <v>1723.6666666666667</v>
      </c>
      <c r="M28" s="167">
        <f>+GETPIVOTDATA("Sum of New-HS % of Total",'Pivot-HS Student % of Undergrad'!$A$3,"State","VA","Category",6,"Category2","Four-Year")</f>
        <v>1.566428157029588E-3</v>
      </c>
      <c r="N28" s="186">
        <f>+GETPIVOTDATA("Undergrad Student Credit Hour FTE - New",'FTE Pivot for regular counts'!$A$2,"State","VA","Category2","Four-Year")</f>
        <v>155233.05000000002</v>
      </c>
      <c r="O28" s="167">
        <f>+GETPIVOTDATA("Sum of New-HS % of Total",'Pivot-HS Student % of Undergrad'!$A$3,"State","VA","Category2","Group1")</f>
        <v>8.2862508982462172E-3</v>
      </c>
      <c r="Q28" s="25" t="s">
        <v>93</v>
      </c>
      <c r="R28" s="241">
        <f>+GETPIVOTDATA("Sum of Old-HS % of Total",'Pivot-HS Student % of Undergrad'!$A$3,"State","VA","Category",1,"Category2","Four-Year")</f>
        <v>8.5994254994397647E-4</v>
      </c>
      <c r="S28" s="801">
        <f t="shared" si="9"/>
        <v>0.98502113435294436</v>
      </c>
      <c r="T28" s="242">
        <f>+GETPIVOTDATA("Sum of Old-HS % of Total",'Pivot-HS Student % of Undergrad'!$A$3,"State","VA","Category",2,"Category2","Four-Year")</f>
        <v>5.7960452384999252E-3</v>
      </c>
      <c r="U28" s="801">
        <f t="shared" si="0"/>
        <v>0.33910305906112587</v>
      </c>
      <c r="V28" s="242">
        <f>+GETPIVOTDATA("Sum of Old-HS % of Total",'Pivot-HS Student % of Undergrad'!$A$3,"State","VA","Category",3,"Category2","Four-Year")</f>
        <v>2.7773971442168993E-3</v>
      </c>
      <c r="W28" s="801">
        <f t="shared" si="1"/>
        <v>0.6039327566367344</v>
      </c>
      <c r="X28" s="242">
        <f>+GETPIVOTDATA("Sum of Old-HS % of Total",'Pivot-HS Student % of Undergrad'!$A$3,"State","VA","Category",4,"Category2","Four-Year")</f>
        <v>1.7560393118667283E-5</v>
      </c>
      <c r="Y28" s="801">
        <f t="shared" si="2"/>
        <v>4.6649142311559866E-2</v>
      </c>
      <c r="Z28" s="242">
        <f>+GETPIVOTDATA("Sum of Old-HS % of Total",'Pivot-HS Student % of Undergrad'!$A$3,"State","VA","Category",5,"Category2","Four-Year")</f>
        <v>1.3237568977189778E-4</v>
      </c>
      <c r="AA28" s="801">
        <f t="shared" si="3"/>
        <v>-2.0209384529992452E-3</v>
      </c>
      <c r="AB28" s="242">
        <f>+GETPIVOTDATA("Sum of Old-HS % of Total",'Pivot-HS Student % of Undergrad'!$A$3,"State","VA","Category",6,"Category2","Four-Year")</f>
        <v>2.8008276248390014E-3</v>
      </c>
      <c r="AC28" s="801">
        <f t="shared" si="4"/>
        <v>-0.12343994678094133</v>
      </c>
      <c r="AD28" s="242">
        <f>+GETPIVOTDATA("Sum of Old-HS % of Total",'Pivot-HS Student % of Undergrad'!$A$3,"State","VA","Category2","Four-Year")</f>
        <v>1.9144168671322826E-3</v>
      </c>
      <c r="AE28" s="801">
        <f t="shared" si="5"/>
        <v>0.63718340311139343</v>
      </c>
      <c r="AF28" s="25" t="s">
        <v>93</v>
      </c>
    </row>
    <row r="29" spans="1:32" s="25" customFormat="1" ht="15" customHeight="1">
      <c r="A29" s="3" t="s">
        <v>94</v>
      </c>
      <c r="B29" s="6">
        <f>+GETPIVOTDATA("Undergrad Student Credit Hour FTE - New",'FTE Pivot for regular counts'!$A$2,"State","WV","Category",1,"Category2","Four-Year")</f>
        <v>21854.6</v>
      </c>
      <c r="C29" s="168">
        <f>+GETPIVOTDATA("Sum of New-HS % of Total",'Pivot-HS Student % of Undergrad'!$A$3,"State","WV","Category",1,"Category2","Four-Year")</f>
        <v>4.6107760685012156E-3</v>
      </c>
      <c r="D29" s="187">
        <f>+GETPIVOTDATA("Undergrad Student Credit Hour FTE - New",'FTE Pivot for regular counts'!$A$2,"State","WV","Category",2,"Category2","Four-Year")</f>
        <v>0</v>
      </c>
      <c r="E29" s="168">
        <f>+GETPIVOTDATA("Sum of New-HS % of Total",'Pivot-HS Student % of Undergrad'!$A$3,"State","WV","Category",2,"Category2","Four-Year")</f>
        <v>0</v>
      </c>
      <c r="F29" s="187">
        <f>+GETPIVOTDATA("Undergrad Student Credit Hour FTE - New",'FTE Pivot for regular counts'!$A$2,"State","WV","Category",3,"Category2","Four-Year")</f>
        <v>9014.8666666666668</v>
      </c>
      <c r="G29" s="168">
        <f>+GETPIVOTDATA("Sum of New-HS % of Total",'Pivot-HS Student % of Undergrad'!$A$3,"State","WV","Category",3,"Category2","Four-Year")</f>
        <v>1.4993751063058799E-2</v>
      </c>
      <c r="H29" s="187">
        <f>+GETPIVOTDATA("Undergrad Student Credit Hour FTE - New",'FTE Pivot for regular counts'!$A$2,"State","WV","Category",4,"Category2","Four-Year")</f>
        <v>0</v>
      </c>
      <c r="I29" s="168">
        <f>+GETPIVOTDATA("Sum of Old-HS % of Total",'Pivot-HS Student % of Undergrad'!$A$3,"State","WV","Category",4,"Category2","Four-Year")</f>
        <v>0</v>
      </c>
      <c r="J29" s="187">
        <f>+GETPIVOTDATA("Undergrad Student Credit Hour FTE - New",'FTE Pivot for regular counts'!$A$2,"State","WV","Category",5,"Category2","Four-Year")</f>
        <v>7748.6833333333334</v>
      </c>
      <c r="K29" s="240">
        <f>+GETPIVOTDATA("Sum of New-HS % of Total",'Pivot-HS Student % of Undergrad'!$A$3,"State","WV","Category",5,"Category2","Four-Year")</f>
        <v>4.6459506023604011E-4</v>
      </c>
      <c r="L29" s="187">
        <f>+GETPIVOTDATA("Undergrad Student Credit Hour FTE - New",'FTE Pivot for regular counts'!$A$2,"State","WV","Category",6,"Category2","Four-Year")</f>
        <v>11982.406666666666</v>
      </c>
      <c r="M29" s="168">
        <f>GETPIVOTDATA("Sum of New-HS % of Total",'Pivot-HS Student % of Undergrad'!$A$3,"State","WV","Category",6,"Category2","Four-Year")</f>
        <v>2.1347965155580875E-2</v>
      </c>
      <c r="N29" s="187">
        <f>+GETPIVOTDATA("Undergrad Student Credit Hour FTE - New",'FTE Pivot for regular counts'!$A$2,"State","WV","Category2","Four-Year")</f>
        <v>50600.556666666671</v>
      </c>
      <c r="O29" s="168">
        <f>+GETPIVOTDATA("Sum of New-HS % of Total",'Pivot-HS Student % of Undergrad'!$A$3,"State","WV","Category2","Group1")</f>
        <v>9.7890886180632929E-3</v>
      </c>
      <c r="Q29" s="3" t="s">
        <v>94</v>
      </c>
      <c r="R29" s="749">
        <f>+GETPIVOTDATA("Sum of Old-HS % of Total",'Pivot-HS Student % of Undergrad'!$A$3,"State","WV","Category",1,"Category2","Four-Year")</f>
        <v>4.4277976796413005E-3</v>
      </c>
      <c r="S29" s="802">
        <f t="shared" si="9"/>
        <v>1.8297838885991506E-2</v>
      </c>
      <c r="T29" s="750">
        <f>+GETPIVOTDATA("Sum of Old-HS % of Total",'Pivot-HS Student % of Undergrad'!$A$3,"State","WV","Category",2,"Category2","Four-Year")</f>
        <v>0</v>
      </c>
      <c r="U29" s="802">
        <f t="shared" si="0"/>
        <v>0</v>
      </c>
      <c r="V29" s="750">
        <f>+GETPIVOTDATA("Sum of Old-HS % of Total",'Pivot-HS Student % of Undergrad'!$A$3,"State","WV","Category",3,"Category2","Four-Year")</f>
        <v>1.6197780234089913E-2</v>
      </c>
      <c r="W29" s="802">
        <f t="shared" si="1"/>
        <v>-0.12040291710311135</v>
      </c>
      <c r="X29" s="750">
        <f>+GETPIVOTDATA("Sum of Old-HS % of Total",'Pivot-HS Student % of Undergrad'!$A$3,"State","WV","Category",4,"Category2","Four-Year")</f>
        <v>0</v>
      </c>
      <c r="Y29" s="802">
        <f t="shared" si="2"/>
        <v>0</v>
      </c>
      <c r="Z29" s="750">
        <f>GETPIVOTDATA("Sum of Old-HS % of Total",'Pivot-HS Student % of Undergrad'!$A$3,"State","WV","Category",5,"Category2","Four-Year")</f>
        <v>3.1712726143232918E-4</v>
      </c>
      <c r="AA29" s="802">
        <f t="shared" si="3"/>
        <v>1.4746779880371092E-2</v>
      </c>
      <c r="AB29" s="750">
        <f>GETPIVOTDATA("Sum of Old-HS % of Total",'Pivot-HS Student % of Undergrad'!$A$3,"State","WV","Category",6,"Category2","Four-Year")</f>
        <v>2.1752772187062359E-2</v>
      </c>
      <c r="AC29" s="802">
        <f t="shared" si="4"/>
        <v>-4.0480703148148417E-2</v>
      </c>
      <c r="AD29" s="750">
        <f>+GETPIVOTDATA("Sum of Old-HS % of Total",'Pivot-HS Student % of Undergrad'!$A$3,"State","WV","Category2","Four-Year")</f>
        <v>1.0081912882031179E-2</v>
      </c>
      <c r="AE29" s="802">
        <f t="shared" si="5"/>
        <v>-2.928242639678863E-2</v>
      </c>
      <c r="AF29" s="3" t="s">
        <v>94</v>
      </c>
    </row>
    <row r="30" spans="1:32" ht="23.25" customHeight="1">
      <c r="A30" s="814" t="s">
        <v>987</v>
      </c>
      <c r="B30" s="815"/>
      <c r="C30" s="815"/>
      <c r="D30" s="815"/>
      <c r="E30" s="815"/>
      <c r="F30" s="815"/>
      <c r="G30" s="815"/>
      <c r="H30" s="815"/>
      <c r="I30" s="816"/>
      <c r="J30" s="816"/>
      <c r="K30" s="816"/>
      <c r="L30" s="816"/>
      <c r="M30" s="816"/>
      <c r="N30" s="816"/>
      <c r="O30" s="816"/>
    </row>
    <row r="31" spans="1:32">
      <c r="A31" s="720"/>
      <c r="B31" s="50"/>
      <c r="C31" s="50"/>
      <c r="D31" s="50"/>
      <c r="E31" s="50"/>
      <c r="F31" s="50"/>
      <c r="G31" s="50"/>
      <c r="H31" s="1"/>
      <c r="J31" s="124"/>
      <c r="K31" s="124"/>
      <c r="L31" s="124"/>
      <c r="M31" s="193"/>
      <c r="N31" s="48"/>
      <c r="O31" s="169" t="s">
        <v>1018</v>
      </c>
    </row>
    <row r="32" spans="1:32" ht="18">
      <c r="A32" s="41" t="s">
        <v>223</v>
      </c>
      <c r="B32" s="43"/>
      <c r="C32" s="43"/>
      <c r="D32" s="43"/>
      <c r="E32" s="43"/>
      <c r="F32" s="51"/>
      <c r="G32" s="43"/>
      <c r="H32" s="110"/>
      <c r="I32" s="50"/>
      <c r="J32" s="124"/>
      <c r="K32" s="124"/>
      <c r="L32" s="124"/>
      <c r="M32" s="193"/>
      <c r="N32" s="48"/>
    </row>
    <row r="33" spans="1:14" ht="15.75">
      <c r="A33" s="43"/>
      <c r="B33" s="43"/>
      <c r="C33" s="43"/>
      <c r="D33" s="43"/>
      <c r="E33" s="43"/>
      <c r="F33" s="43"/>
      <c r="G33" s="43"/>
      <c r="H33" s="110"/>
      <c r="I33" s="50"/>
      <c r="J33" s="124"/>
      <c r="K33" s="124"/>
      <c r="L33" s="124"/>
      <c r="M33" s="193"/>
      <c r="N33" s="48"/>
    </row>
    <row r="34" spans="1:14" ht="15.75">
      <c r="A34" s="43" t="s">
        <v>44</v>
      </c>
      <c r="B34" s="43"/>
      <c r="C34" s="43"/>
      <c r="D34" s="43"/>
      <c r="E34" s="43"/>
      <c r="F34" s="43"/>
      <c r="G34" s="43"/>
      <c r="H34" s="110"/>
      <c r="I34" s="50"/>
      <c r="J34" s="124"/>
      <c r="K34" s="124"/>
      <c r="L34" s="124"/>
      <c r="M34" s="193"/>
      <c r="N34" s="48"/>
    </row>
    <row r="35" spans="1:14" ht="15.75">
      <c r="A35" s="43" t="s">
        <v>986</v>
      </c>
      <c r="B35" s="43"/>
      <c r="C35" s="43"/>
      <c r="D35" s="43"/>
      <c r="E35" s="43"/>
      <c r="F35" s="43"/>
      <c r="G35" s="43"/>
      <c r="H35" s="110"/>
    </row>
    <row r="37" spans="1:14" ht="15" customHeight="1">
      <c r="A37" s="52"/>
      <c r="B37" s="52" t="s">
        <v>77</v>
      </c>
      <c r="C37" s="52"/>
      <c r="D37" s="52"/>
      <c r="E37" s="52"/>
      <c r="F37" s="52"/>
      <c r="G37" s="52"/>
      <c r="H37" s="111"/>
    </row>
    <row r="38" spans="1:14" ht="15" customHeight="1">
      <c r="A38" s="53"/>
      <c r="B38" s="46">
        <v>1</v>
      </c>
      <c r="C38" s="46">
        <v>2</v>
      </c>
      <c r="D38" s="46">
        <v>3</v>
      </c>
      <c r="E38" s="46">
        <v>4</v>
      </c>
      <c r="F38" s="46">
        <v>5</v>
      </c>
      <c r="G38" s="54">
        <v>6</v>
      </c>
      <c r="H38" s="93" t="s">
        <v>41</v>
      </c>
    </row>
    <row r="39" spans="1:14" ht="15" customHeight="1">
      <c r="A39" s="1" t="s">
        <v>79</v>
      </c>
      <c r="B39" s="11">
        <f>+GETPIVOTDATA("Graduate FTE - New",'FTE Pivot for regular counts'!$A$2,"Category",1,"Category2","Four-Year")</f>
        <v>221903.74999999997</v>
      </c>
      <c r="C39" s="11">
        <f>+GETPIVOTDATA("Graduate FTE - New",'FTE Pivot for regular counts'!$A$2,"Category",2,"Category2","Four-Year")</f>
        <v>46304.687499999993</v>
      </c>
      <c r="D39" s="11">
        <f>+GETPIVOTDATA("Graduate FTE - New",'FTE Pivot for regular counts'!$A$2,"Category",3,"Category2","Four-Year")</f>
        <v>86180.875</v>
      </c>
      <c r="E39" s="11">
        <f>+GETPIVOTDATA("Graduate FTE - New",'FTE Pivot for regular counts'!$A$2,"Category",4,"Category2","Four-Year")</f>
        <v>24078.104166666664</v>
      </c>
      <c r="F39" s="11">
        <f>+GETPIVOTDATA("Graduate FTE - New",'FTE Pivot for regular counts'!$A$2,"Category",5,"Category2","Four-Year")</f>
        <v>10240.333333333334</v>
      </c>
      <c r="G39" s="12">
        <f>+GETPIVOTDATA("Graduate FTE - New",'FTE Pivot for regular counts'!$A$2,"Category",6,"Category2","Four-Year")</f>
        <v>720.5</v>
      </c>
      <c r="H39" s="112">
        <f>+GETPIVOTDATA("Graduate FTE - New",'FTE Pivot for regular counts'!$A$2,"Category2","Four-Year")</f>
        <v>389428.24999999994</v>
      </c>
    </row>
    <row r="40" spans="1:14" ht="15" customHeight="1">
      <c r="B40" s="11"/>
      <c r="C40" s="11"/>
      <c r="D40" s="11"/>
      <c r="E40" s="11"/>
      <c r="F40" s="11"/>
      <c r="G40" s="12"/>
      <c r="H40" s="112"/>
    </row>
    <row r="41" spans="1:14" ht="15" customHeight="1">
      <c r="A41" s="1" t="s">
        <v>80</v>
      </c>
      <c r="B41" s="33">
        <f>+GETPIVOTDATA("Graduate FTE - New",'FTE Pivot for regular counts'!$A$2,"State","AL","Category",1,"Category2","Four-Year")</f>
        <v>10025.916666666668</v>
      </c>
      <c r="C41" s="33">
        <f>+GETPIVOTDATA("Graduate FTE - New",'FTE Pivot for regular counts'!$A$2,"State","AL","Category",2,"Category2","Four-Year")</f>
        <v>965.66666666666663</v>
      </c>
      <c r="D41" s="33">
        <f>+GETPIVOTDATA("Graduate FTE - New",'FTE Pivot for regular counts'!$A$2,"State","AL","Category",3,"Category2","Four-Year")</f>
        <v>4566.125</v>
      </c>
      <c r="E41" s="33">
        <f>+GETPIVOTDATA("Graduate FTE - New",'FTE Pivot for regular counts'!$A$2,"State","AL","Category",4,"Category2","Four-Year")</f>
        <v>1884.3333333333333</v>
      </c>
      <c r="F41" s="33">
        <f>+GETPIVOTDATA("Graduate FTE - New",'FTE Pivot for regular counts'!$A$2,"State","AL","Category",5,"Category2","Four-Year")</f>
        <v>2428.541666666667</v>
      </c>
      <c r="G41" s="12">
        <f>+GETPIVOTDATA("Graduate FTE - New",'FTE Pivot for regular counts'!$A$2,"State","AL","Category",6,"Category2","Four-Year")</f>
        <v>0</v>
      </c>
      <c r="H41" s="113">
        <f>+GETPIVOTDATA("Graduate FTE - New",'FTE Pivot for regular counts'!$A$2,"State","AL","Category2","Four-Year")</f>
        <v>19870.583333333336</v>
      </c>
    </row>
    <row r="42" spans="1:14" ht="15" customHeight="1">
      <c r="A42" s="4" t="s">
        <v>81</v>
      </c>
      <c r="B42" s="33">
        <f>+GETPIVOTDATA("Graduate FTE - New",'FTE Pivot for regular counts'!$A$2,"State","AR","Category",1,"Category2","Four-Year")</f>
        <v>3215.9583333333335</v>
      </c>
      <c r="C42" s="33">
        <f>+GETPIVOTDATA("Graduate FTE - New",'FTE Pivot for regular counts'!$A$2,"State","AR","Category",2,"Category2","Four-Year")</f>
        <v>0</v>
      </c>
      <c r="D42" s="33">
        <f>+GETPIVOTDATA("Graduate FTE - New",'FTE Pivot for regular counts'!$A$2,"State","AR","Category",3,"Category2","Four-Year")</f>
        <v>6924.541666666667</v>
      </c>
      <c r="E42" s="33">
        <f>+GETPIVOTDATA("Graduate FTE - New",'FTE Pivot for regular counts'!$A$2,"State","AR","Category",4,"Category2","Four-Year")</f>
        <v>1201.5</v>
      </c>
      <c r="F42" s="33">
        <f>+GETPIVOTDATA("Graduate FTE - New",'FTE Pivot for regular counts'!$A$2,"State","AR","Category",5,"Category2","Four-Year")</f>
        <v>86.625</v>
      </c>
      <c r="G42" s="12">
        <f>+GETPIVOTDATA("Graduate FTE - New",'FTE Pivot for regular counts'!$A$2,"State","AR","Category",6,"Category2","Four-Year")</f>
        <v>78.541666666666671</v>
      </c>
      <c r="H42" s="113">
        <f>+GETPIVOTDATA("Graduate FTE - New",'FTE Pivot for regular counts'!$A$2,"State","AR","Category2","Four-Year")</f>
        <v>11507.166666666666</v>
      </c>
    </row>
    <row r="43" spans="1:14" ht="15" customHeight="1">
      <c r="A43" s="1" t="s">
        <v>118</v>
      </c>
      <c r="B43" s="33">
        <f>+GETPIVOTDATA("Graduate FTE - New",'FTE Pivot for regular counts'!$A$2,"State","DE","Category",1,"Category2","Four-Year")</f>
        <v>2156</v>
      </c>
      <c r="C43" s="33">
        <f>+GETPIVOTDATA("Graduate FTE - New",'FTE Pivot for regular counts'!$A$2,"State","DE","Category",2,"Category2","Four-Year")</f>
        <v>0</v>
      </c>
      <c r="D43" s="33">
        <f>+GETPIVOTDATA("Graduate FTE - New",'FTE Pivot for regular counts'!$A$2,"State","DE","Category",3,"Category2","Four-Year")</f>
        <v>0</v>
      </c>
      <c r="E43" s="33">
        <f>+GETPIVOTDATA("Graduate FTE - New",'FTE Pivot for regular counts'!$A$2,"State","DE","Category",4,"Category2","Four-Year")</f>
        <v>338.125</v>
      </c>
      <c r="F43" s="33">
        <f>+GETPIVOTDATA("Graduate FTE - New",'FTE Pivot for regular counts'!$A$2,"State","DE","Category",5,"Category2","Four-Year")</f>
        <v>0</v>
      </c>
      <c r="G43" s="12">
        <f>+GETPIVOTDATA("Graduate FTE - New",'FTE Pivot for regular counts'!$A$2,"State","DE","Category",6,"Category2","Four-Year")</f>
        <v>0</v>
      </c>
      <c r="H43" s="113">
        <f>+GETPIVOTDATA("Graduate FTE - New",'FTE Pivot for regular counts'!$A$2,"State","DE","Category2","Four-Year")</f>
        <v>2494.125</v>
      </c>
      <c r="N43" s="95"/>
    </row>
    <row r="44" spans="1:14" ht="15" customHeight="1">
      <c r="A44" s="1" t="s">
        <v>82</v>
      </c>
      <c r="B44" s="33">
        <f>+GETPIVOTDATA("Graduate FTE - New",'FTE Pivot for regular counts'!$A$2,"State","FL","Category",1,"Category2","Four-Year")</f>
        <v>43996.791666666672</v>
      </c>
      <c r="C44" s="33">
        <f>+GETPIVOTDATA("Graduate FTE - New",'FTE Pivot for regular counts'!$A$2,"State","FL","Category",2,"Category2","Four-Year")</f>
        <v>3273.25</v>
      </c>
      <c r="D44" s="33">
        <f>+GETPIVOTDATA("Graduate FTE - New",'FTE Pivot for regular counts'!$A$2,"State","FL","Category",3,"Category2","Four-Year")</f>
        <v>4774.5</v>
      </c>
      <c r="E44" s="33">
        <f>+GETPIVOTDATA("Graduate FTE - New",'FTE Pivot for regular counts'!$A$2,"State","FL","Category",4,"Category2","Four-Year")</f>
        <v>998.45833333333337</v>
      </c>
      <c r="F44" s="33">
        <f>+GETPIVOTDATA("Graduate FTE - New",'FTE Pivot for regular counts'!$A$2,"State","FL","Category",5,"Category2","Four-Year")</f>
        <v>0</v>
      </c>
      <c r="G44" s="12">
        <f>+GETPIVOTDATA("Graduate FTE - New",'FTE Pivot for regular counts'!$A$2,"State","FL","Category",6,"Category2","Four-Year")</f>
        <v>0</v>
      </c>
      <c r="H44" s="113">
        <f>+GETPIVOTDATA("Graduate FTE - New",'FTE Pivot for regular counts'!$A$2,"State","FL","Category2","Four-Year")</f>
        <v>53043.000000000007</v>
      </c>
    </row>
    <row r="45" spans="1:14" ht="15" customHeight="1">
      <c r="B45" s="33"/>
      <c r="C45" s="33"/>
      <c r="D45" s="33"/>
      <c r="E45" s="33"/>
      <c r="F45" s="33"/>
      <c r="G45" s="12"/>
      <c r="H45" s="113"/>
    </row>
    <row r="46" spans="1:14" ht="15" customHeight="1">
      <c r="A46" s="1" t="s">
        <v>83</v>
      </c>
      <c r="B46" s="33">
        <f>+GETPIVOTDATA("Graduate FTE - New",'FTE Pivot for regular counts'!$A$2,"State","GA","Category",1,"Category2","Four-Year")</f>
        <v>19576.395833333336</v>
      </c>
      <c r="C46" s="33">
        <f>+GETPIVOTDATA("Graduate FTE - New",'FTE Pivot for regular counts'!$A$2,"State","GA","Category",2,"Category2","Four-Year")</f>
        <v>9785</v>
      </c>
      <c r="D46" s="33">
        <f>+GETPIVOTDATA("Graduate FTE - New",'FTE Pivot for regular counts'!$A$2,"State","GA","Category",3,"Category2","Four-Year")</f>
        <v>4761.9583333333339</v>
      </c>
      <c r="E46" s="33">
        <f>+GETPIVOTDATA("Graduate FTE - New",'FTE Pivot for regular counts'!$A$2,"State","GA","Category",4,"Category2","Four-Year")</f>
        <v>4083.270833333333</v>
      </c>
      <c r="F46" s="33">
        <f>+GETPIVOTDATA("Graduate FTE - New",'FTE Pivot for regular counts'!$A$2,"State","GA","Category",5,"Category2","Four-Year")</f>
        <v>1874.8333333333333</v>
      </c>
      <c r="G46" s="12">
        <f>+GETPIVOTDATA("Graduate FTE - New",'FTE Pivot for regular counts'!$A$2,"State","GA","Category",6,"Category2","Four-Year")</f>
        <v>0</v>
      </c>
      <c r="H46" s="113">
        <f>+GETPIVOTDATA("Graduate FTE - New",'FTE Pivot for regular counts'!$A$2,"State","GA","Category2","Four-Year")</f>
        <v>40081.458333333343</v>
      </c>
    </row>
    <row r="47" spans="1:14" ht="15" customHeight="1">
      <c r="A47" s="1" t="s">
        <v>84</v>
      </c>
      <c r="B47" s="33">
        <f>+GETPIVOTDATA("Graduate FTE - New",'FTE Pivot for regular counts'!$A$2,"State","KY","Category",1,"Category2","Four-Year")</f>
        <v>6826</v>
      </c>
      <c r="C47" s="33">
        <f>+GETPIVOTDATA("Graduate FTE - New",'FTE Pivot for regular counts'!$A$2,"State","KY","Category",2,"Category2","Four-Year")</f>
        <v>0</v>
      </c>
      <c r="D47" s="33">
        <f>+GETPIVOTDATA("Graduate FTE - New",'FTE Pivot for regular counts'!$A$2,"State","KY","Category",3,"Category2","Four-Year")</f>
        <v>5357.4583333333339</v>
      </c>
      <c r="E47" s="33">
        <f>+GETPIVOTDATA("Graduate FTE - New",'FTE Pivot for regular counts'!$A$2,"State","KY","Category",4,"Category2","Four-Year")</f>
        <v>1888.6666666666667</v>
      </c>
      <c r="F47" s="33">
        <f>+GETPIVOTDATA("Graduate FTE - New",'FTE Pivot for regular counts'!$A$2,"State","KY","Category",5,"Category2","Four-Year")</f>
        <v>0</v>
      </c>
      <c r="G47" s="12">
        <f>+GETPIVOTDATA("Graduate FTE - New",'FTE Pivot for regular counts'!$A$2,"State","KY","Category",6,"Category2","Four-Year")</f>
        <v>0</v>
      </c>
      <c r="H47" s="113">
        <f>+GETPIVOTDATA("Graduate FTE - New",'FTE Pivot for regular counts'!$A$2,"State","KY","Category2","Four-Year")</f>
        <v>14072.125</v>
      </c>
    </row>
    <row r="48" spans="1:14" ht="15" customHeight="1">
      <c r="A48" s="1" t="s">
        <v>85</v>
      </c>
      <c r="B48" s="33">
        <f>+GETPIVOTDATA("Graduate FTE - New",'FTE Pivot for regular counts'!$A$2,"State","LA","Category",1,"Category2","Four-Year")</f>
        <v>4947.708333333333</v>
      </c>
      <c r="C48" s="33">
        <f>+GETPIVOTDATA("Graduate FTE - New",'FTE Pivot for regular counts'!$A$2,"State","LA","Category",2,"Category2","Four-Year")</f>
        <v>3837.75</v>
      </c>
      <c r="D48" s="33">
        <f>+GETPIVOTDATA("Graduate FTE - New",'FTE Pivot for regular counts'!$A$2,"State","LA","Category",3,"Category2","Four-Year")</f>
        <v>4050.208333333333</v>
      </c>
      <c r="E48" s="33">
        <f>+GETPIVOTDATA("Graduate FTE - New",'FTE Pivot for regular counts'!$A$2,"State","LA","Category",4,"Category2","Four-Year")</f>
        <v>2943.541666666667</v>
      </c>
      <c r="F48" s="33">
        <f>+GETPIVOTDATA("Graduate FTE - New",'FTE Pivot for regular counts'!$A$2,"State","LA","Category",5,"Category2","Four-Year")</f>
        <v>0</v>
      </c>
      <c r="G48" s="12">
        <f>+GETPIVOTDATA("Graduate FTE - New",'FTE Pivot for regular counts'!$A$2,"State","LA","Category",6,"Category2","Four-Year")</f>
        <v>0</v>
      </c>
      <c r="H48" s="113">
        <f>+GETPIVOTDATA("Graduate FTE - New",'FTE Pivot for regular counts'!$A$2,"State","LA","Category2","Four-Year")</f>
        <v>15779.208333333332</v>
      </c>
    </row>
    <row r="49" spans="1:13" ht="15" customHeight="1">
      <c r="A49" s="1" t="s">
        <v>86</v>
      </c>
      <c r="B49" s="33">
        <f>+GETPIVOTDATA("Graduate FTE - New",'FTE Pivot for regular counts'!$A$2,"State","MD","Category",1,"Category2","Four-Year")</f>
        <v>6619.708333333333</v>
      </c>
      <c r="C49" s="33">
        <f>+GETPIVOTDATA("Graduate FTE - New",'FTE Pivot for regular counts'!$A$2,"State","MD","Category",2,"Category2","Four-Year")</f>
        <v>2271.7083333333335</v>
      </c>
      <c r="D49" s="33">
        <f>+GETPIVOTDATA("Graduate FTE - New",'FTE Pivot for regular counts'!$A$2,"State","MD","Category",3,"Category2","Four-Year")</f>
        <v>2396.625</v>
      </c>
      <c r="E49" s="33">
        <f>+GETPIVOTDATA("Graduate FTE - New",'FTE Pivot for regular counts'!$A$2,"State","MD","Category",4,"Category2","Four-Year")</f>
        <v>4828.5416666666661</v>
      </c>
      <c r="F49" s="33">
        <f>+GETPIVOTDATA("Graduate FTE - New",'FTE Pivot for regular counts'!$A$2,"State","MD","Category",5,"Category2","Four-Year")</f>
        <v>0</v>
      </c>
      <c r="G49" s="12">
        <f>+GETPIVOTDATA("Graduate FTE - New",'FTE Pivot for regular counts'!$A$2,"State","MD","Category",6,"Category2","Four-Year")</f>
        <v>65.708333333333329</v>
      </c>
      <c r="H49" s="113">
        <f>+GETPIVOTDATA("Graduate FTE - New",'FTE Pivot for regular counts'!$A$2,"State","MD","Category2","Four-Year")</f>
        <v>16182.291666666666</v>
      </c>
    </row>
    <row r="50" spans="1:13" ht="15" customHeight="1">
      <c r="B50" s="33"/>
      <c r="C50" s="33"/>
      <c r="D50" s="33"/>
      <c r="E50" s="33"/>
      <c r="F50" s="33"/>
      <c r="G50" s="12"/>
      <c r="H50" s="113"/>
    </row>
    <row r="51" spans="1:13" ht="15" customHeight="1">
      <c r="A51" s="1" t="s">
        <v>87</v>
      </c>
      <c r="B51" s="33">
        <f>+GETPIVOTDATA("Graduate FTE - New",'FTE Pivot for regular counts'!$A$2,"State","MS","Category",1,"Category2","Four-Year")</f>
        <v>5135.3333333333339</v>
      </c>
      <c r="C51" s="33">
        <f>+GETPIVOTDATA("Graduate FTE - New",'FTE Pivot for regular counts'!$A$2,"State","MS","Category",2,"Category2","Four-Year")</f>
        <v>3872</v>
      </c>
      <c r="D51" s="33">
        <f>+GETPIVOTDATA("Graduate FTE - New",'FTE Pivot for regular counts'!$A$2,"State","MS","Category",3,"Category2","Four-Year")</f>
        <v>0</v>
      </c>
      <c r="E51" s="33">
        <f>+GETPIVOTDATA("Graduate FTE - New",'FTE Pivot for regular counts'!$A$2,"State","MS","Category",4,"Category2","Four-Year")</f>
        <v>1749.9583333333335</v>
      </c>
      <c r="F51" s="33">
        <f>+GETPIVOTDATA("Graduate FTE - New",'FTE Pivot for regular counts'!$A$2,"State","MS","Category",5,"Category2","Four-Year")</f>
        <v>177.5</v>
      </c>
      <c r="G51" s="12">
        <f>+GETPIVOTDATA("Graduate FTE - New",'FTE Pivot for regular counts'!$A$2,"State","MS","Category",6,"Category2","Four-Year")</f>
        <v>0</v>
      </c>
      <c r="H51" s="113">
        <f>+GETPIVOTDATA("Graduate FTE - New",'FTE Pivot for regular counts'!$A$2,"State","MS","Category2","Four-Year")</f>
        <v>10934.791666666668</v>
      </c>
    </row>
    <row r="52" spans="1:13" ht="15" customHeight="1">
      <c r="A52" s="1" t="s">
        <v>88</v>
      </c>
      <c r="B52" s="33">
        <f>+GETPIVOTDATA("Graduate FTE - New",'FTE Pivot for regular counts'!$A$2,"State","NC","Category",1,"Category2","Four-Year")</f>
        <v>16689.125</v>
      </c>
      <c r="C52" s="33">
        <f>+GETPIVOTDATA("Graduate FTE - New",'FTE Pivot for regular counts'!$A$2,"State","NC","Category",2,"Category2","Four-Year")</f>
        <v>2992.3333333333335</v>
      </c>
      <c r="D52" s="33">
        <f>+GETPIVOTDATA("Graduate FTE - New",'FTE Pivot for regular counts'!$A$2,"State","NC","Category",3,"Category2","Four-Year")</f>
        <v>11095.416666666666</v>
      </c>
      <c r="E52" s="33">
        <f>+GETPIVOTDATA("Graduate FTE - New",'FTE Pivot for regular counts'!$A$2,"State","NC","Category",4,"Category2","Four-Year")</f>
        <v>452</v>
      </c>
      <c r="F52" s="33">
        <f>+GETPIVOTDATA("Graduate FTE - New",'FTE Pivot for regular counts'!$A$2,"State","NC","Category",5,"Category2","Four-Year")</f>
        <v>959.5</v>
      </c>
      <c r="G52" s="12">
        <f>+GETPIVOTDATA("Graduate FTE - New",'FTE Pivot for regular counts'!$A$2,"State","NC","Category",6,"Category2","Four-Year")</f>
        <v>86.333333333333329</v>
      </c>
      <c r="H52" s="113">
        <f>+GETPIVOTDATA("Graduate FTE - New",'FTE Pivot for regular counts'!$A$2,"State","NC","Category2","Four-Year")</f>
        <v>32274.708333333332</v>
      </c>
    </row>
    <row r="53" spans="1:13" ht="15" customHeight="1">
      <c r="A53" s="1" t="s">
        <v>89</v>
      </c>
      <c r="B53" s="33">
        <f>+GETPIVOTDATA("Graduate FTE - New",'FTE Pivot for regular counts'!$A$2,"State","OK","Category",1,"Category2","Four-Year")</f>
        <v>10016.375</v>
      </c>
      <c r="C53" s="33">
        <f>+GETPIVOTDATA("Graduate FTE - New",'FTE Pivot for regular counts'!$A$2,"State","OK","Category",2,"Category2","Four-Year")</f>
        <v>0</v>
      </c>
      <c r="D53" s="33">
        <f>+GETPIVOTDATA("Graduate FTE - New",'FTE Pivot for regular counts'!$A$2,"State","OK","Category",3,"Category2","Four-Year")</f>
        <v>2034.625</v>
      </c>
      <c r="E53" s="33">
        <f>+GETPIVOTDATA("Graduate FTE - New",'FTE Pivot for regular counts'!$A$2,"State","OK","Category",4,"Category2","Four-Year")</f>
        <v>0</v>
      </c>
      <c r="F53" s="33">
        <f>+GETPIVOTDATA("Graduate FTE - New",'FTE Pivot for regular counts'!$A$2,"State","OK","Category",5,"Category2","Four-Year")</f>
        <v>2333.2916666666665</v>
      </c>
      <c r="G53" s="12">
        <f>+GETPIVOTDATA("Graduate FTE - New",'FTE Pivot for regular counts'!$A$2,"State","OK","Category",6,"Category2","Four-Year")</f>
        <v>0</v>
      </c>
      <c r="H53" s="113">
        <f>+GETPIVOTDATA("Graduate FTE - New",'FTE Pivot for regular counts'!$A$2,"State","OK","Category2","Four-Year")</f>
        <v>14384.291666666666</v>
      </c>
    </row>
    <row r="54" spans="1:13" ht="15" customHeight="1">
      <c r="A54" s="1" t="s">
        <v>90</v>
      </c>
      <c r="B54" s="33">
        <f>+GETPIVOTDATA("Graduate FTE - New",'FTE Pivot for regular counts'!$A$2,"State","SC","Category",1,"Category2","Four-Year")</f>
        <v>8145.541666666667</v>
      </c>
      <c r="C54" s="33">
        <f>+GETPIVOTDATA("Graduate FTE - New",'FTE Pivot for regular counts'!$A$2,"State","SC","Category",2,"Category2","Four-Year")</f>
        <v>0</v>
      </c>
      <c r="D54" s="33">
        <f>+GETPIVOTDATA("Graduate FTE - New",'FTE Pivot for regular counts'!$A$2,"State","SC","Category",3,"Category2","Four-Year")</f>
        <v>1568.1666666666665</v>
      </c>
      <c r="E54" s="33">
        <f>+GETPIVOTDATA("Graduate FTE - New",'FTE Pivot for regular counts'!$A$2,"State","SC","Category",4,"Category2","Four-Year")</f>
        <v>669.25</v>
      </c>
      <c r="F54" s="33">
        <f>+GETPIVOTDATA("Graduate FTE - New",'FTE Pivot for regular counts'!$A$2,"State","SC","Category",5,"Category2","Four-Year")</f>
        <v>1030.375</v>
      </c>
      <c r="G54" s="12">
        <f>+GETPIVOTDATA("Graduate FTE - New",'FTE Pivot for regular counts'!$A$2,"State","SC","Category",6,"Category2","Four-Year")</f>
        <v>177.20833333333331</v>
      </c>
      <c r="H54" s="113">
        <f>+GETPIVOTDATA("Graduate FTE - New",'FTE Pivot for regular counts'!$A$2,"State","SC","Category2","Four-Year")</f>
        <v>11590.541666666668</v>
      </c>
    </row>
    <row r="55" spans="1:13" ht="15" customHeight="1">
      <c r="B55" s="33"/>
      <c r="C55" s="33"/>
      <c r="D55" s="33"/>
      <c r="E55" s="33"/>
      <c r="F55" s="33"/>
      <c r="G55" s="12"/>
      <c r="H55" s="113"/>
    </row>
    <row r="56" spans="1:13" ht="15" customHeight="1">
      <c r="A56" s="1" t="s">
        <v>91</v>
      </c>
      <c r="B56" s="33">
        <f>+GETPIVOTDATA("Graduate FTE - New",'FTE Pivot for regular counts'!$A$2,"State","TN","Category",1,"Category2","Four-Year")</f>
        <v>8069</v>
      </c>
      <c r="C56" s="33">
        <f>+GETPIVOTDATA("Graduate FTE - New",'FTE Pivot for regular counts'!$A$2,"State","TN","Category",2,"Category2","Four-Year")</f>
        <v>1498.9583333333333</v>
      </c>
      <c r="D56" s="33">
        <f>+GETPIVOTDATA("Graduate FTE - New",'FTE Pivot for regular counts'!$A$2,"State","TN","Category",3,"Category2","Four-Year")</f>
        <v>6458.5833333333321</v>
      </c>
      <c r="E56" s="33">
        <f>+GETPIVOTDATA("Graduate FTE - New",'FTE Pivot for regular counts'!$A$2,"State","TN","Category",4,"Category2","Four-Year")</f>
        <v>0</v>
      </c>
      <c r="F56" s="33">
        <f>+GETPIVOTDATA("Graduate FTE - New",'FTE Pivot for regular counts'!$A$2,"State","TN","Category",5,"Category2","Four-Year")</f>
        <v>235.08333333333334</v>
      </c>
      <c r="G56" s="12">
        <f>+GETPIVOTDATA("Graduate FTE - New",'FTE Pivot for regular counts'!$A$2,"State","TN","Category",6,"Category2","Four-Year")</f>
        <v>0</v>
      </c>
      <c r="H56" s="113">
        <f>+GETPIVOTDATA("Graduate FTE - New",'FTE Pivot for regular counts'!$A$2,"State","TN","Category2","Four-Year")</f>
        <v>16261.625</v>
      </c>
    </row>
    <row r="57" spans="1:13" ht="15" customHeight="1">
      <c r="A57" s="1" t="s">
        <v>92</v>
      </c>
      <c r="B57" s="33">
        <f>+GETPIVOTDATA("Graduate FTE - New",'FTE Pivot for regular counts'!$A$2,"State","TX","Category",1,"Category2","Four-Year")</f>
        <v>46534.666666666664</v>
      </c>
      <c r="C57" s="33">
        <f>+GETPIVOTDATA("Graduate FTE - New",'FTE Pivot for regular counts'!$A$2,"State","TX","Category",2,"Category2","Four-Year")</f>
        <v>9660.0416666666679</v>
      </c>
      <c r="D57" s="33">
        <f>+GETPIVOTDATA("Graduate FTE - New",'FTE Pivot for regular counts'!$A$2,"State","TX","Category",3,"Category2","Four-Year")</f>
        <v>27744.25</v>
      </c>
      <c r="E57" s="33">
        <f>+GETPIVOTDATA("Graduate FTE - New",'FTE Pivot for regular counts'!$A$2,"State","TX","Category",4,"Category2","Four-Year")</f>
        <v>1451.625</v>
      </c>
      <c r="F57" s="33">
        <f>+GETPIVOTDATA("Graduate FTE - New",'FTE Pivot for regular counts'!$A$2,"State","TX","Category",5,"Category2","Four-Year")</f>
        <v>226.875</v>
      </c>
      <c r="G57" s="12">
        <f>+GETPIVOTDATA("Graduate FTE - New",'FTE Pivot for regular counts'!$A$2,"State","TX","Category",6,"Category2","Four-Year")</f>
        <v>50.458333333333336</v>
      </c>
      <c r="H57" s="113">
        <f>+GETPIVOTDATA("Graduate FTE - New",'FTE Pivot for regular counts'!$A$2,"State","TX","Category2","Four-Year")</f>
        <v>85667.916666666657</v>
      </c>
    </row>
    <row r="58" spans="1:13" ht="15" customHeight="1">
      <c r="A58" s="1" t="s">
        <v>93</v>
      </c>
      <c r="B58" s="33">
        <f>+GETPIVOTDATA("Graduate FTE - New",'FTE Pivot for regular counts'!$A$2,"State","VA","Category",1,"Category2","Four-Year")</f>
        <v>25017.437499999996</v>
      </c>
      <c r="C58" s="33">
        <f>+GETPIVOTDATA("Graduate FTE - New",'FTE Pivot for regular counts'!$A$2,"State","VA","Category",2,"Category2","Four-Year")</f>
        <v>8147.979166666667</v>
      </c>
      <c r="D58" s="33">
        <f>+GETPIVOTDATA("Graduate FTE - New",'FTE Pivot for regular counts'!$A$2,"State","VA","Category",3,"Category2","Four-Year")</f>
        <v>2001</v>
      </c>
      <c r="E58" s="33">
        <f>+GETPIVOTDATA("Graduate FTE - New",'FTE Pivot for regular counts'!$A$2,"State","VA","Category",4,"Category2","Four-Year")</f>
        <v>1588.8333333333333</v>
      </c>
      <c r="F58" s="33">
        <f>+GETPIVOTDATA("Graduate FTE - New",'FTE Pivot for regular counts'!$A$2,"State","VA","Category",5,"Category2","Four-Year")</f>
        <v>563.08333333333326</v>
      </c>
      <c r="G58" s="12">
        <f>+GETPIVOTDATA("Graduate FTE - New",'FTE Pivot for regular counts'!$A$2,"State","VA","Category",6,"Category2","Four-Year")</f>
        <v>0</v>
      </c>
      <c r="H58" s="113">
        <f>+GETPIVOTDATA("Graduate FTE - New",'FTE Pivot for regular counts'!$A$2,"State","VA","Category2","Four-Year")</f>
        <v>37318.333333333336</v>
      </c>
    </row>
    <row r="59" spans="1:13" ht="15" customHeight="1">
      <c r="A59" s="3" t="s">
        <v>94</v>
      </c>
      <c r="B59" s="13">
        <f>+GETPIVOTDATA("Graduate FTE - New",'FTE Pivot for regular counts'!$A$2,"State","WV","Category",1,"Category2","Four-Year")</f>
        <v>4931.791666666667</v>
      </c>
      <c r="C59" s="13">
        <f>+GETPIVOTDATA("Graduate FTE - New",'FTE Pivot for regular counts'!$A$2,"State","WV","Category",2,"Category2","Four-Year")</f>
        <v>0</v>
      </c>
      <c r="D59" s="13">
        <f>+GETPIVOTDATA("Graduate FTE - New",'FTE Pivot for regular counts'!$A$2,"State","WV","Category",3,"Category2","Four-Year")</f>
        <v>2447.4166666666665</v>
      </c>
      <c r="E59" s="13">
        <f>+GETPIVOTDATA("Graduate FTE - New",'FTE Pivot for regular counts'!$A$2,"State","WV","Category",4,"Category2","Four-Year")</f>
        <v>0</v>
      </c>
      <c r="F59" s="13">
        <f>+GETPIVOTDATA("Graduate FTE - New",'FTE Pivot for regular counts'!$A$2,"State","WV","Category",5,"Category2","Four-Year")</f>
        <v>324.625</v>
      </c>
      <c r="G59" s="14">
        <f>+GETPIVOTDATA("Graduate FTE - New",'FTE Pivot for regular counts'!$A$2,"State","WV","Category",6,"Category2","Four-Year")</f>
        <v>262.25</v>
      </c>
      <c r="H59" s="114">
        <f>+GETPIVOTDATA("Graduate FTE - New",'FTE Pivot for regular counts'!$A$2,"State","WV","Category2","Four-Year")</f>
        <v>7966.0833333333339</v>
      </c>
    </row>
    <row r="60" spans="1:13" s="25" customFormat="1" ht="35.25" customHeight="1">
      <c r="A60" s="811" t="s">
        <v>1001</v>
      </c>
      <c r="B60" s="811"/>
      <c r="C60" s="811"/>
      <c r="D60" s="811"/>
      <c r="E60" s="811"/>
      <c r="F60" s="811"/>
      <c r="G60" s="811"/>
      <c r="H60" s="811"/>
      <c r="I60" s="15"/>
      <c r="J60" s="103"/>
      <c r="K60" s="103"/>
      <c r="L60" s="103"/>
      <c r="M60" s="103"/>
    </row>
    <row r="61" spans="1:13" ht="10.5" customHeight="1">
      <c r="A61" s="725"/>
      <c r="B61" s="725"/>
      <c r="C61" s="725"/>
      <c r="D61" s="725"/>
      <c r="E61" s="725"/>
      <c r="F61" s="725"/>
      <c r="G61" s="725"/>
      <c r="H61" s="169" t="s">
        <v>1018</v>
      </c>
    </row>
    <row r="62" spans="1:13">
      <c r="A62" s="49"/>
      <c r="B62" s="50"/>
      <c r="C62" s="50"/>
      <c r="D62" s="50"/>
      <c r="E62" s="50"/>
      <c r="F62" s="50"/>
      <c r="G62" s="50"/>
      <c r="H62" s="169"/>
    </row>
    <row r="63" spans="1:13" ht="18">
      <c r="A63" s="41" t="s">
        <v>224</v>
      </c>
      <c r="B63" s="41"/>
      <c r="C63" s="41"/>
      <c r="D63" s="41"/>
      <c r="E63" s="41"/>
      <c r="F63" s="41"/>
      <c r="G63" s="41"/>
      <c r="H63" s="115"/>
    </row>
    <row r="64" spans="1:13" ht="15.75">
      <c r="A64" s="55"/>
      <c r="B64" s="43"/>
      <c r="C64" s="43"/>
      <c r="D64" s="43"/>
      <c r="E64" s="43"/>
      <c r="F64" s="43"/>
      <c r="G64" s="43"/>
      <c r="H64" s="110"/>
    </row>
    <row r="65" spans="1:24" ht="15.75">
      <c r="A65" s="43" t="s">
        <v>47</v>
      </c>
      <c r="B65" s="43"/>
      <c r="C65" s="43"/>
      <c r="D65" s="43"/>
      <c r="E65" s="43"/>
      <c r="F65" s="43"/>
      <c r="G65" s="43"/>
      <c r="H65" s="110"/>
    </row>
    <row r="66" spans="1:24" ht="15.75">
      <c r="A66" s="43" t="s">
        <v>986</v>
      </c>
      <c r="B66" s="43"/>
      <c r="C66" s="43"/>
      <c r="D66" s="43"/>
      <c r="E66" s="43"/>
      <c r="F66" s="43"/>
      <c r="G66" s="43"/>
      <c r="H66" s="110"/>
    </row>
    <row r="67" spans="1:24" ht="15.75">
      <c r="A67" s="43"/>
      <c r="B67" s="43"/>
      <c r="C67" s="43"/>
      <c r="D67" s="43"/>
      <c r="E67" s="43"/>
      <c r="F67" s="43"/>
      <c r="G67" s="43"/>
      <c r="H67" s="110"/>
      <c r="Q67" s="126" t="s">
        <v>49</v>
      </c>
      <c r="R67" s="230" t="s">
        <v>259</v>
      </c>
      <c r="S67" s="126"/>
      <c r="T67" s="126"/>
      <c r="U67" s="126"/>
      <c r="V67" s="126"/>
      <c r="W67" s="126"/>
    </row>
    <row r="68" spans="1:24" ht="15" customHeight="1">
      <c r="A68" s="52"/>
      <c r="B68" s="52" t="s">
        <v>77</v>
      </c>
      <c r="C68" s="52"/>
      <c r="D68" s="52"/>
      <c r="E68" s="52"/>
      <c r="F68" s="52"/>
      <c r="G68" s="52"/>
      <c r="H68" s="111"/>
      <c r="Q68" s="179" t="s">
        <v>77</v>
      </c>
      <c r="R68" s="180"/>
      <c r="S68" s="180"/>
      <c r="T68" s="180"/>
      <c r="U68" s="180"/>
      <c r="V68" s="180"/>
      <c r="W68" s="127"/>
    </row>
    <row r="69" spans="1:24" ht="15" customHeight="1">
      <c r="A69" s="53"/>
      <c r="B69" s="46">
        <v>1</v>
      </c>
      <c r="C69" s="46">
        <v>2</v>
      </c>
      <c r="D69" s="46">
        <v>3</v>
      </c>
      <c r="E69" s="46">
        <v>4</v>
      </c>
      <c r="F69" s="46">
        <v>5</v>
      </c>
      <c r="G69" s="54">
        <v>6</v>
      </c>
      <c r="H69" s="93" t="s">
        <v>41</v>
      </c>
      <c r="Q69" s="128">
        <v>1</v>
      </c>
      <c r="R69" s="128">
        <v>2</v>
      </c>
      <c r="S69" s="128">
        <v>3</v>
      </c>
      <c r="T69" s="128">
        <v>4</v>
      </c>
      <c r="U69" s="128">
        <v>5</v>
      </c>
      <c r="V69" s="129">
        <v>6</v>
      </c>
      <c r="W69" s="130" t="s">
        <v>41</v>
      </c>
    </row>
    <row r="70" spans="1:24" ht="15" customHeight="1">
      <c r="A70" s="1" t="s">
        <v>79</v>
      </c>
      <c r="B70" s="11">
        <f>+'NEW-Tables 80-86'!B9+'NEW-Tables 80-86'!B39</f>
        <v>1079681.3533333333</v>
      </c>
      <c r="C70" s="11">
        <f>+'NEW-Tables 80-86'!D9+'NEW-Tables 80-86'!C39</f>
        <v>245131.78750000001</v>
      </c>
      <c r="D70" s="11">
        <f>+'NEW-Tables 80-86'!F9+'NEW-Tables 80-86'!D39</f>
        <v>633325.7416666667</v>
      </c>
      <c r="E70" s="11">
        <f>+'NEW-Tables 80-86'!H9+'NEW-Tables 80-86'!E39</f>
        <v>211969.08416666667</v>
      </c>
      <c r="F70" s="11">
        <f>+'NEW-Tables 80-86'!J9+'NEW-Tables 80-86'!F39</f>
        <v>123547.54999999999</v>
      </c>
      <c r="G70" s="12">
        <f>+'NEW-Tables 80-86'!L9+'NEW-Tables 80-86'!G39</f>
        <v>68811.39</v>
      </c>
      <c r="H70" s="112">
        <f>+'NEW-Tables 80-86'!N9+'NEW-Tables 80-86'!H39</f>
        <v>2362466.9066666667</v>
      </c>
      <c r="Q70" s="126">
        <f>+GETPIVOTDATA("Grand Total FTE - Old",'FTE Pivot for regular counts'!$A$2,"Category",1,"Category2","Four-Year")</f>
        <v>1055527.5125000002</v>
      </c>
      <c r="R70" s="126">
        <f>+GETPIVOTDATA("Grand Total FTE - Old",'FTE Pivot for regular counts'!$A$2,"Category",2,"Category2","Four-Year")</f>
        <v>239416.1486111111</v>
      </c>
      <c r="S70" s="126">
        <f>+GETPIVOTDATA("Grand Total FTE - Old",'FTE Pivot for regular counts'!$A$2,"Category",3,"Category2","Four-Year")</f>
        <v>624995.64166666672</v>
      </c>
      <c r="T70" s="126">
        <f>+GETPIVOTDATA("Grand Total FTE - Old",'FTE Pivot for regular counts'!$A$2,"Category",4,"Category2","Four-Year")</f>
        <v>209164.50666666665</v>
      </c>
      <c r="U70" s="126">
        <f>+GETPIVOTDATA("Grand Total FTE - Old",'FTE Pivot for regular counts'!$A$2,"Category",5,"Category2","Four-Year")</f>
        <v>123097.44166666668</v>
      </c>
      <c r="V70" s="126">
        <f>+GETPIVOTDATA("Grand Total FTE - Old",'FTE Pivot for regular counts'!$A$2,"Category",6,"Category2","Four-Year")</f>
        <v>66933.131666666668</v>
      </c>
      <c r="W70" s="126">
        <f>+GETPIVOTDATA("Grand Total FTE - Old",'FTE Pivot for regular counts'!$A$2,"Category2","Four-Year")</f>
        <v>2319134.382777778</v>
      </c>
      <c r="X70" s="1" t="s">
        <v>79</v>
      </c>
    </row>
    <row r="71" spans="1:24" ht="15" customHeight="1">
      <c r="B71" s="11"/>
      <c r="C71" s="11"/>
      <c r="D71" s="11"/>
      <c r="E71" s="11"/>
      <c r="F71" s="11"/>
      <c r="G71" s="12"/>
      <c r="H71" s="112"/>
      <c r="Q71" s="126"/>
      <c r="R71" s="126"/>
      <c r="S71" s="126"/>
      <c r="T71" s="126"/>
      <c r="U71" s="126"/>
      <c r="V71" s="126"/>
      <c r="W71" s="126"/>
    </row>
    <row r="72" spans="1:24" ht="15" customHeight="1">
      <c r="A72" s="1" t="s">
        <v>80</v>
      </c>
      <c r="B72" s="33">
        <f>+'NEW-Tables 80-86'!B11+'NEW-Tables 80-86'!B41</f>
        <v>62980.649999999994</v>
      </c>
      <c r="C72" s="33">
        <f>+'NEW-Tables 80-86'!D11+'NEW-Tables 80-86'!C41</f>
        <v>6145.0666666666666</v>
      </c>
      <c r="D72" s="33">
        <f>+'NEW-Tables 80-86'!F11+'NEW-Tables 80-86'!D41</f>
        <v>38236.791666666664</v>
      </c>
      <c r="E72" s="33">
        <f>+'NEW-Tables 80-86'!H11+'NEW-Tables 80-86'!E41</f>
        <v>16292.366666666667</v>
      </c>
      <c r="F72" s="33">
        <f>+'NEW-Tables 80-86'!J11+'NEW-Tables 80-86'!F41</f>
        <v>6587.0750000000007</v>
      </c>
      <c r="G72" s="12">
        <f>+'NEW-Tables 80-86'!L11+'NEW-Tables 80-86'!G41</f>
        <v>2856.7333333333331</v>
      </c>
      <c r="H72" s="113">
        <f>+'NEW-Tables 80-86'!N11+'NEW-Tables 80-86'!H41</f>
        <v>133098.68333333332</v>
      </c>
      <c r="Q72" s="126">
        <f>+GETPIVOTDATA("Grand Total FTE - Old",'FTE Pivot for regular counts'!$A$2,"State","AL","Category",1,"Category2","Four-Year")</f>
        <v>61374.40833333334</v>
      </c>
      <c r="R72" s="126">
        <f>+GETPIVOTDATA("Grand Total FTE - Old",'FTE Pivot for regular counts'!$A$2,"State","AL","Category",2,"Category2","Four-Year")</f>
        <v>6283.3666666666668</v>
      </c>
      <c r="S72" s="126">
        <f>+GETPIVOTDATA("Grand Total FTE - Old",'FTE Pivot for regular counts'!$A$2,"State","AL","Category",3,"Category2","Four-Year")</f>
        <v>36486.675000000003</v>
      </c>
      <c r="T72" s="126">
        <f>+GETPIVOTDATA("Grand Total FTE - Old",'FTE Pivot for regular counts'!$A$2,"State","AL","Category",4,"Category2","Four-Year")</f>
        <v>16697.241666666665</v>
      </c>
      <c r="U72" s="126">
        <f>+GETPIVOTDATA("Grand Total FTE - Old",'FTE Pivot for regular counts'!$A$2,"State","AL","Category",5,"Category2","Four-Year")</f>
        <v>6593.4</v>
      </c>
      <c r="V72" s="126">
        <f>+GETPIVOTDATA("Grand Total FTE - Old",'FTE Pivot for regular counts'!$A$2,"State","AL","Category",6,"Category2","Four-Year")</f>
        <v>2973</v>
      </c>
      <c r="W72" s="126">
        <f>+GETPIVOTDATA("Grand Total FTE - Old",'FTE Pivot for regular counts'!$A$2,"State","AL","Category2","Four-Year")</f>
        <v>130408.09166666667</v>
      </c>
      <c r="X72" s="1" t="s">
        <v>80</v>
      </c>
    </row>
    <row r="73" spans="1:24" ht="15" customHeight="1">
      <c r="A73" s="4" t="s">
        <v>81</v>
      </c>
      <c r="B73" s="33">
        <f>+'NEW-Tables 80-86'!B12+'NEW-Tables 80-86'!B42</f>
        <v>20745.724999999999</v>
      </c>
      <c r="C73" s="33">
        <f>+'NEW-Tables 80-86'!D12+'NEW-Tables 80-86'!C42</f>
        <v>0</v>
      </c>
      <c r="D73" s="33">
        <f>+'NEW-Tables 80-86'!F12+'NEW-Tables 80-86'!D42</f>
        <v>33109.708333333328</v>
      </c>
      <c r="E73" s="33">
        <f>+'NEW-Tables 80-86'!H12+'NEW-Tables 80-86'!E42</f>
        <v>14527.866666666667</v>
      </c>
      <c r="F73" s="33">
        <f>+'NEW-Tables 80-86'!J12+'NEW-Tables 80-86'!F42</f>
        <v>2486.6916666666666</v>
      </c>
      <c r="G73" s="12">
        <f>+'NEW-Tables 80-86'!L12+'NEW-Tables 80-86'!G42</f>
        <v>9434.1083333333318</v>
      </c>
      <c r="H73" s="113">
        <f>+'NEW-Tables 80-86'!N12+'NEW-Tables 80-86'!H42</f>
        <v>80304.100000000006</v>
      </c>
      <c r="Q73" s="126">
        <f>+GETPIVOTDATA("Grand Total FTE - Old",'FTE Pivot for regular counts'!$A$2,"State","AR","Category",1,"Category2","Four-Year")</f>
        <v>18927.391666666666</v>
      </c>
      <c r="R73" s="126">
        <f>+GETPIVOTDATA("Grand Total FTE - Old",'FTE Pivot for regular counts'!$A$2,"State","AR","Category",2,"Category2","Four-Year")</f>
        <v>0</v>
      </c>
      <c r="S73" s="126">
        <f>+GETPIVOTDATA("Grand Total FTE - Old",'FTE Pivot for regular counts'!$A$2,"State","AR","Category",3,"Category2","Four-Year")</f>
        <v>32362.14166666667</v>
      </c>
      <c r="T73" s="126">
        <f>+GETPIVOTDATA("Grand Total FTE - Old",'FTE Pivot for regular counts'!$A$2,"State","AR","Category",4,"Category2","Four-Year")</f>
        <v>13980.916666666668</v>
      </c>
      <c r="U73" s="126">
        <f>+GETPIVOTDATA("Grand Total FTE - Old",'FTE Pivot for regular counts'!$A$2,"State","AR","Category",5,"Category2","Four-Year")</f>
        <v>2461.0583333333334</v>
      </c>
      <c r="V73" s="126">
        <f>+GETPIVOTDATA("Grand Total FTE - Old",'FTE Pivot for regular counts'!$A$2,"State","AR","Category",6,"Category2","Four-Year")</f>
        <v>9563.9000000000015</v>
      </c>
      <c r="W73" s="126">
        <f>+GETPIVOTDATA("Grand Total FTE - Old",'FTE Pivot for regular counts'!$A$2,"State","AR","Category2","Four-Year")</f>
        <v>77295.408333333355</v>
      </c>
      <c r="X73" s="4" t="s">
        <v>81</v>
      </c>
    </row>
    <row r="74" spans="1:24" ht="15" customHeight="1">
      <c r="A74" s="1" t="s">
        <v>118</v>
      </c>
      <c r="B74" s="33">
        <f>+'NEW-Tables 80-86'!B13+'NEW-Tables 80-86'!B43</f>
        <v>19675.966666666667</v>
      </c>
      <c r="C74" s="33">
        <f>+'NEW-Tables 80-86'!D13+'NEW-Tables 80-86'!C43</f>
        <v>0</v>
      </c>
      <c r="D74" s="33">
        <f>+'NEW-Tables 80-86'!F13+'NEW-Tables 80-86'!D43</f>
        <v>0</v>
      </c>
      <c r="E74" s="1">
        <f>+'NEW-Tables 80-86'!H13+'NEW-Tables 80-86'!E43</f>
        <v>3779.1583333333333</v>
      </c>
      <c r="F74" s="33">
        <f>+'NEW-Tables 80-86'!J13+'NEW-Tables 80-86'!F43</f>
        <v>0</v>
      </c>
      <c r="G74" s="12">
        <f>+'NEW-Tables 80-86'!L13+'NEW-Tables 80-86'!G43</f>
        <v>0</v>
      </c>
      <c r="H74" s="1">
        <f>+'NEW-Tables 80-86'!N13+'NEW-Tables 80-86'!H43</f>
        <v>23455.125</v>
      </c>
      <c r="Q74" s="126">
        <f>+GETPIVOTDATA("Grand Total FTE - Old",'FTE Pivot for regular counts'!$A$2,"State","DE","Category",1,"Category2","Four-Year")</f>
        <v>19590.041666666668</v>
      </c>
      <c r="R74" s="126">
        <f>+GETPIVOTDATA("Grand Total FTE - Old",'FTE Pivot for regular counts'!$A$2,"State","DE","Category",2,"Category2","Four-Year")</f>
        <v>0</v>
      </c>
      <c r="S74" s="126">
        <f>+GETPIVOTDATA("Grand Total FTE - Old",'FTE Pivot for regular counts'!$A$2,"State","DE","Category",3,"Category2","Four-Year")</f>
        <v>0</v>
      </c>
      <c r="T74" s="126">
        <f>+GETPIVOTDATA("Grand Total FTE - Old",'FTE Pivot for regular counts'!$A$2,"State","DE","Category",4,"Category2","Four-Year")</f>
        <v>3608.0916666666667</v>
      </c>
      <c r="U74" s="126">
        <f>+GETPIVOTDATA("Grand Total FTE - Old",'FTE Pivot for regular counts'!$A$2,"State","DE","Category",5,"Category2","Four-Year")</f>
        <v>0</v>
      </c>
      <c r="V74" s="126">
        <f>+GETPIVOTDATA("Grand Total FTE - Old",'FTE Pivot for regular counts'!$A$2,"State","DE","Category",6,"Category2","Four-Year")</f>
        <v>0</v>
      </c>
      <c r="W74" s="126">
        <f>+GETPIVOTDATA("Grand Total FTE - Old",'FTE Pivot for regular counts'!$A$2,"State","DE","Category2","Four-Year")</f>
        <v>23198.133333333335</v>
      </c>
      <c r="X74" s="1" t="s">
        <v>118</v>
      </c>
    </row>
    <row r="75" spans="1:24" ht="15" customHeight="1">
      <c r="A75" s="1" t="s">
        <v>82</v>
      </c>
      <c r="B75" s="33">
        <f>+'NEW-Tables 80-86'!B14+'NEW-Tables 80-86'!B44</f>
        <v>221444.4916666667</v>
      </c>
      <c r="C75" s="33">
        <f>+'NEW-Tables 80-86'!D14+'NEW-Tables 80-86'!C44</f>
        <v>23262.483333333334</v>
      </c>
      <c r="D75" s="33">
        <f>+'NEW-Tables 80-86'!F14+'NEW-Tables 80-86'!D44</f>
        <v>36853.9</v>
      </c>
      <c r="E75" s="33">
        <f>+'NEW-Tables 80-86'!H14+'NEW-Tables 80-86'!E44</f>
        <v>10617.225</v>
      </c>
      <c r="F75" s="33">
        <f>+'NEW-Tables 80-86'!J14+'NEW-Tables 80-86'!F44</f>
        <v>0</v>
      </c>
      <c r="G75" s="12">
        <f>+'NEW-Tables 80-86'!L14+'NEW-Tables 80-86'!G44</f>
        <v>940.26666666666665</v>
      </c>
      <c r="H75" s="113">
        <f>+'NEW-Tables 80-86'!N14+'NEW-Tables 80-86'!H44</f>
        <v>293118.3666666667</v>
      </c>
      <c r="Q75" s="126">
        <f>+GETPIVOTDATA("Grand Total FTE - Old",'FTE Pivot for regular counts'!$A$2,"State","FL","Category",1,"Category2","Four-Year")</f>
        <v>215108.15</v>
      </c>
      <c r="R75" s="126">
        <f>+GETPIVOTDATA("Grand Total FTE - Old",'FTE Pivot for regular counts'!$A$2,"State","FL","Category",2,"Category2","Four-Year")</f>
        <v>22375.291666666664</v>
      </c>
      <c r="S75" s="126">
        <f>+GETPIVOTDATA("Grand Total FTE - Old",'FTE Pivot for regular counts'!$A$2,"State","FL","Category",3,"Category2","Four-Year")</f>
        <v>36545.51666666667</v>
      </c>
      <c r="T75" s="126">
        <f>+GETPIVOTDATA("Grand Total FTE - Old",'FTE Pivot for regular counts'!$A$2,"State","FL","Category",4,"Category2","Four-Year")</f>
        <v>9964.0166666666664</v>
      </c>
      <c r="U75" s="126">
        <f>+GETPIVOTDATA("Grand Total FTE - Old",'FTE Pivot for regular counts'!$A$2,"State","FL","Category",5,"Category2","Four-Year")</f>
        <v>0</v>
      </c>
      <c r="V75" s="126">
        <f>+GETPIVOTDATA("Grand Total FTE - Old",'FTE Pivot for regular counts'!$A$2,"State","FL","Category",6,"Category2","Four-Year")</f>
        <v>922.66666666666663</v>
      </c>
      <c r="W75" s="126">
        <f>+GETPIVOTDATA("Grand Total FTE - Old",'FTE Pivot for regular counts'!$A$2,"State","FL","Category2","Four-Year")</f>
        <v>284915.64166666666</v>
      </c>
      <c r="X75" s="1" t="s">
        <v>82</v>
      </c>
    </row>
    <row r="76" spans="1:24" ht="15" customHeight="1">
      <c r="B76" s="33"/>
      <c r="C76" s="33"/>
      <c r="D76" s="33"/>
      <c r="E76" s="33"/>
      <c r="F76" s="33"/>
      <c r="G76" s="12"/>
      <c r="H76" s="113"/>
      <c r="Q76" s="126"/>
      <c r="R76" s="126"/>
      <c r="S76" s="126"/>
      <c r="T76" s="126"/>
      <c r="U76" s="126"/>
      <c r="V76" s="126"/>
      <c r="W76" s="126"/>
    </row>
    <row r="77" spans="1:24" ht="15" customHeight="1">
      <c r="A77" s="1" t="s">
        <v>83</v>
      </c>
      <c r="B77" s="33">
        <f>+'NEW-Tables 80-86'!B16+'NEW-Tables 80-86'!B46</f>
        <v>66231.632500000007</v>
      </c>
      <c r="C77" s="33">
        <f>+'NEW-Tables 80-86'!D16+'NEW-Tables 80-86'!C46</f>
        <v>23532.5</v>
      </c>
      <c r="D77" s="33">
        <f>+'NEW-Tables 80-86'!F16+'NEW-Tables 80-86'!D46</f>
        <v>40907.941666666666</v>
      </c>
      <c r="E77" s="33">
        <f>+'NEW-Tables 80-86'!H16+'NEW-Tables 80-86'!E46</f>
        <v>45690.700833333336</v>
      </c>
      <c r="F77" s="33">
        <f>+'NEW-Tables 80-86'!J16+'NEW-Tables 80-86'!F46</f>
        <v>27650.366666666661</v>
      </c>
      <c r="G77" s="12">
        <f>+'NEW-Tables 80-86'!L16+'NEW-Tables 80-86'!G46</f>
        <v>10833.400000000001</v>
      </c>
      <c r="H77" s="113">
        <f>+'NEW-Tables 80-86'!N16+'NEW-Tables 80-86'!H46</f>
        <v>214846.54166666666</v>
      </c>
      <c r="Q77" s="126">
        <f>+GETPIVOTDATA("Grand Total FTE - Old",'FTE Pivot for regular counts'!$A$2,"State","GA","Category",1,"Category2","Four-Year")</f>
        <v>65921.8</v>
      </c>
      <c r="R77" s="126">
        <f>+GETPIVOTDATA("Grand Total FTE - Old",'FTE Pivot for regular counts'!$A$2,"State","GA","Category",2,"Category2","Four-Year")</f>
        <v>23302.579166666666</v>
      </c>
      <c r="S77" s="126">
        <f>+GETPIVOTDATA("Grand Total FTE - Old",'FTE Pivot for regular counts'!$A$2,"State","GA","Category",3,"Category2","Four-Year")</f>
        <v>40234.341666666667</v>
      </c>
      <c r="T77" s="126">
        <f>+GETPIVOTDATA("Grand Total FTE - Old",'FTE Pivot for regular counts'!$A$2,"State","GA","Category",4,"Category2","Four-Year")</f>
        <v>45354.698333333334</v>
      </c>
      <c r="U77" s="126">
        <f>+GETPIVOTDATA("Grand Total FTE - Old",'FTE Pivot for regular counts'!$A$2,"State","GA","Category",5,"Category2","Four-Year")</f>
        <v>27253.924999999999</v>
      </c>
      <c r="V77" s="126">
        <f>+GETPIVOTDATA("Grand Total FTE - Old",'FTE Pivot for regular counts'!$A$2,"State","GA","Category",6,"Category2","Four-Year")</f>
        <v>8950.4</v>
      </c>
      <c r="W77" s="126">
        <f>+GETPIVOTDATA("Grand Total FTE - Old",'FTE Pivot for regular counts'!$A$2,"State","GA","Category2","Four-Year")</f>
        <v>211017.74416666664</v>
      </c>
      <c r="X77" s="1" t="s">
        <v>83</v>
      </c>
    </row>
    <row r="78" spans="1:24" ht="15" customHeight="1">
      <c r="A78" s="1" t="s">
        <v>84</v>
      </c>
      <c r="B78" s="33">
        <f>+'NEW-Tables 80-86'!B17+'NEW-Tables 80-86'!B47</f>
        <v>38591.800000000003</v>
      </c>
      <c r="C78" s="33">
        <f>+'NEW-Tables 80-86'!D17+'NEW-Tables 80-86'!C47</f>
        <v>0</v>
      </c>
      <c r="D78" s="33">
        <f>+'NEW-Tables 80-86'!F17+'NEW-Tables 80-86'!D47</f>
        <v>46597.191666666666</v>
      </c>
      <c r="E78" s="33">
        <f>+'NEW-Tables 80-86'!H17+'NEW-Tables 80-86'!E47</f>
        <v>15172.033333333331</v>
      </c>
      <c r="F78" s="33">
        <f>+'NEW-Tables 80-86'!J17+'NEW-Tables 80-86'!F47</f>
        <v>0</v>
      </c>
      <c r="G78" s="12">
        <f>+'NEW-Tables 80-86'!L17+'NEW-Tables 80-86'!G47</f>
        <v>0</v>
      </c>
      <c r="H78" s="113">
        <f>+'NEW-Tables 80-86'!N17+'NEW-Tables 80-86'!H47</f>
        <v>100361.02499999999</v>
      </c>
      <c r="Q78" s="126">
        <f>+GETPIVOTDATA("Grand Total FTE - Old",'FTE Pivot for regular counts'!$A$2,"State","KY","Category",1,"Category2","Four-Year")</f>
        <v>37979.166666666672</v>
      </c>
      <c r="R78" s="126">
        <f>+GETPIVOTDATA("Grand Total FTE - Old",'FTE Pivot for regular counts'!$A$2,"State","KY","Category",2,"Category2","Four-Year")</f>
        <v>0</v>
      </c>
      <c r="S78" s="126">
        <f>+GETPIVOTDATA("Grand Total FTE - Old",'FTE Pivot for regular counts'!$A$2,"State","KY","Category",3,"Category2","Four-Year")</f>
        <v>47565.745833333334</v>
      </c>
      <c r="T78" s="126">
        <f>+GETPIVOTDATA("Grand Total FTE - Old",'FTE Pivot for regular counts'!$A$2,"State","KY","Category",4,"Category2","Four-Year")</f>
        <v>15102.466666666667</v>
      </c>
      <c r="U78" s="126">
        <f>+GETPIVOTDATA("Grand Total FTE - Old",'FTE Pivot for regular counts'!$A$2,"State","KY","Category",5,"Category2","Four-Year")</f>
        <v>0</v>
      </c>
      <c r="V78" s="126">
        <f>+GETPIVOTDATA("Grand Total FTE - Old",'FTE Pivot for regular counts'!$A$2,"State","KY","Category",6,"Category2","Four-Year")</f>
        <v>0</v>
      </c>
      <c r="W78" s="126">
        <f>+GETPIVOTDATA("Grand Total FTE - Old",'FTE Pivot for regular counts'!$A$2,"State","KY","Category2","Four-Year")</f>
        <v>100647.37916666668</v>
      </c>
      <c r="X78" s="1" t="s">
        <v>84</v>
      </c>
    </row>
    <row r="79" spans="1:24" ht="15" customHeight="1">
      <c r="A79" s="1" t="s">
        <v>85</v>
      </c>
      <c r="B79" s="33">
        <f>+'NEW-Tables 80-86'!B18+'NEW-Tables 80-86'!B48</f>
        <v>29202.274999999998</v>
      </c>
      <c r="C79" s="33">
        <f>+'NEW-Tables 80-86'!D18+'NEW-Tables 80-86'!C48</f>
        <v>29970.05</v>
      </c>
      <c r="D79" s="33">
        <f>+'NEW-Tables 80-86'!F18+'NEW-Tables 80-86'!D48</f>
        <v>28523.408333333329</v>
      </c>
      <c r="E79" s="33">
        <f>+'NEW-Tables 80-86'!H18+'NEW-Tables 80-86'!E48</f>
        <v>33287.708333333336</v>
      </c>
      <c r="F79" s="33">
        <f>+'NEW-Tables 80-86'!J18+'NEW-Tables 80-86'!F48</f>
        <v>0</v>
      </c>
      <c r="G79" s="12">
        <f>+'NEW-Tables 80-86'!L18+'NEW-Tables 80-86'!G48</f>
        <v>1861.8</v>
      </c>
      <c r="H79" s="113">
        <f>+'NEW-Tables 80-86'!N18+'NEW-Tables 80-86'!H48</f>
        <v>122845.24166666667</v>
      </c>
      <c r="Q79" s="126">
        <f>+GETPIVOTDATA("Grand Total FTE - Old",'FTE Pivot for regular counts'!$A$2,"State","LA","Category",1,"Category2","Four-Year")</f>
        <v>28810.766666666666</v>
      </c>
      <c r="R79" s="126">
        <f>+GETPIVOTDATA("Grand Total FTE - Old",'FTE Pivot for regular counts'!$A$2,"State","LA","Category",2,"Category2","Four-Year")</f>
        <v>30043.202777777777</v>
      </c>
      <c r="S79" s="126">
        <f>+GETPIVOTDATA("Grand Total FTE - Old",'FTE Pivot for regular counts'!$A$2,"State","LA","Category",3,"Category2","Four-Year")</f>
        <v>28873.091666666667</v>
      </c>
      <c r="T79" s="126">
        <f>+GETPIVOTDATA("Grand Total FTE - Old",'FTE Pivot for regular counts'!$A$2,"State","LA","Category",4,"Category2","Four-Year")</f>
        <v>33532.400000000001</v>
      </c>
      <c r="U79" s="126">
        <f>+GETPIVOTDATA("Grand Total FTE - Old",'FTE Pivot for regular counts'!$A$2,"State","LA","Category",5,"Category2","Four-Year")</f>
        <v>0</v>
      </c>
      <c r="V79" s="126">
        <f>+GETPIVOTDATA("Grand Total FTE - Old",'FTE Pivot for regular counts'!$A$2,"State","LA","Category",6,"Category2","Four-Year")</f>
        <v>1883.4666666666667</v>
      </c>
      <c r="W79" s="126">
        <f>+GETPIVOTDATA("Grand Total FTE - Old",'FTE Pivot for regular counts'!$A$2,"State","LA","Category2","Four-Year")</f>
        <v>123142.92777777776</v>
      </c>
      <c r="X79" s="1" t="s">
        <v>85</v>
      </c>
    </row>
    <row r="80" spans="1:24" ht="15" customHeight="1">
      <c r="A80" s="1" t="s">
        <v>86</v>
      </c>
      <c r="B80" s="33">
        <f>+'NEW-Tables 80-86'!B19+'NEW-Tables 80-86'!B49</f>
        <v>33284.341666666667</v>
      </c>
      <c r="C80" s="33">
        <f>+'NEW-Tables 80-86'!D19+'NEW-Tables 80-86'!C49</f>
        <v>18565.808333333331</v>
      </c>
      <c r="D80" s="33">
        <f>+'NEW-Tables 80-86'!F19+'NEW-Tables 80-86'!D49</f>
        <v>19273.508333333335</v>
      </c>
      <c r="E80" s="33">
        <f>+'NEW-Tables 80-86'!H19+'NEW-Tables 80-86'!E49</f>
        <v>30448.625</v>
      </c>
      <c r="F80" s="33">
        <f>+'NEW-Tables 80-86'!J19+'NEW-Tables 80-86'!F49</f>
        <v>0</v>
      </c>
      <c r="G80" s="12">
        <f>+'NEW-Tables 80-86'!L19+'NEW-Tables 80-86'!G49</f>
        <v>2237.4583333333335</v>
      </c>
      <c r="H80" s="113">
        <f>+'NEW-Tables 80-86'!N19+'NEW-Tables 80-86'!H49</f>
        <v>103809.74166666668</v>
      </c>
      <c r="Q80" s="126">
        <f>+GETPIVOTDATA("Grand Total FTE - Old",'FTE Pivot for regular counts'!$A$2,"State","MD","Category",1,"Category2","Four-Year")</f>
        <v>33163.287499999999</v>
      </c>
      <c r="R80" s="126">
        <f>+GETPIVOTDATA("Grand Total FTE - Old",'FTE Pivot for regular counts'!$A$2,"State","MD","Category",2,"Category2","Four-Year")</f>
        <v>17921.224999999999</v>
      </c>
      <c r="S80" s="126">
        <f>+GETPIVOTDATA("Grand Total FTE - Old",'FTE Pivot for regular counts'!$A$2,"State","MD","Category",3,"Category2","Four-Year")</f>
        <v>19312.662499999999</v>
      </c>
      <c r="T80" s="126">
        <f>+GETPIVOTDATA("Grand Total FTE - Old",'FTE Pivot for regular counts'!$A$2,"State","MD","Category",4,"Category2","Four-Year")</f>
        <v>30193.883333333335</v>
      </c>
      <c r="U80" s="126">
        <f>+GETPIVOTDATA("Grand Total FTE - Old",'FTE Pivot for regular counts'!$A$2,"State","MD","Category",5,"Category2","Four-Year")</f>
        <v>0</v>
      </c>
      <c r="V80" s="126">
        <f>+GETPIVOTDATA("Grand Total FTE - Old",'FTE Pivot for regular counts'!$A$2,"State","MD","Category",6,"Category2","Four-Year")</f>
        <v>2175.1916666666666</v>
      </c>
      <c r="W80" s="126">
        <f>+GETPIVOTDATA("Grand Total FTE - Old",'FTE Pivot for regular counts'!$A$2,"State","MD","Category2","Four-Year")</f>
        <v>102766.24999999999</v>
      </c>
      <c r="X80" s="1" t="s">
        <v>86</v>
      </c>
    </row>
    <row r="81" spans="1:26" ht="15" customHeight="1">
      <c r="B81" s="33"/>
      <c r="C81" s="33"/>
      <c r="D81" s="33"/>
      <c r="E81" s="33"/>
      <c r="F81" s="33"/>
      <c r="G81" s="12"/>
      <c r="H81" s="113"/>
      <c r="Q81" s="126"/>
      <c r="R81" s="126"/>
      <c r="S81" s="126"/>
      <c r="T81" s="126"/>
      <c r="U81" s="126"/>
      <c r="V81" s="126"/>
      <c r="W81" s="126"/>
    </row>
    <row r="82" spans="1:26" ht="15" customHeight="1">
      <c r="A82" s="1" t="s">
        <v>87</v>
      </c>
      <c r="B82" s="33">
        <f>+'NEW-Tables 80-86'!B21+'NEW-Tables 80-86'!B51</f>
        <v>31479.433333333334</v>
      </c>
      <c r="C82" s="33">
        <f>+'NEW-Tables 80-86'!D21+'NEW-Tables 80-86'!C51</f>
        <v>24348.85</v>
      </c>
      <c r="D82" s="33">
        <f>+'NEW-Tables 80-86'!F21+'NEW-Tables 80-86'!D51</f>
        <v>0</v>
      </c>
      <c r="E82" s="33">
        <f>+'NEW-Tables 80-86'!H21+'NEW-Tables 80-86'!E51</f>
        <v>9475.3583333333336</v>
      </c>
      <c r="F82" s="33">
        <f>+'NEW-Tables 80-86'!J21+'NEW-Tables 80-86'!F51</f>
        <v>2431.6333333333332</v>
      </c>
      <c r="G82" s="12">
        <f>+'NEW-Tables 80-86'!L21+'NEW-Tables 80-86'!G51</f>
        <v>0</v>
      </c>
      <c r="H82" s="113">
        <f>+'NEW-Tables 80-86'!N21+'NEW-Tables 80-86'!H51</f>
        <v>67735.274999999994</v>
      </c>
      <c r="Q82" s="126">
        <f>+GETPIVOTDATA("Grand Total FTE - Old",'FTE Pivot for regular counts'!$A$2,"State","MS","Category",1,"Category2","Four-Year")</f>
        <v>30540.541666666668</v>
      </c>
      <c r="R82" s="126">
        <f>+GETPIVOTDATA("Grand Total FTE - Old",'FTE Pivot for regular counts'!$A$2,"State","MS","Category",2,"Category2","Four-Year")</f>
        <v>22897.958333333332</v>
      </c>
      <c r="S82" s="126">
        <f>+GETPIVOTDATA("Grand Total FTE - Old",'FTE Pivot for regular counts'!$A$2,"State","MS","Category",3,"Category2","Four-Year")</f>
        <v>0</v>
      </c>
      <c r="T82" s="126">
        <f>+GETPIVOTDATA("Grand Total FTE - Old",'FTE Pivot for regular counts'!$A$2,"State","MS","Category",4,"Category2","Four-Year")</f>
        <v>9208.0499999999993</v>
      </c>
      <c r="U82" s="126">
        <f>+GETPIVOTDATA("Grand Total FTE - Old",'FTE Pivot for regular counts'!$A$2,"State","MS","Category",5,"Category2","Four-Year")</f>
        <v>2288.3416666666667</v>
      </c>
      <c r="V82" s="126">
        <f>+GETPIVOTDATA("Grand Total FTE - Old",'FTE Pivot for regular counts'!$A$2,"State","MS","Category",6,"Category2","Four-Year")</f>
        <v>0</v>
      </c>
      <c r="W82" s="126">
        <f>+GETPIVOTDATA("Grand Total FTE - Old",'FTE Pivot for regular counts'!$A$2,"State","MS","Category2","Four-Year")</f>
        <v>64934.89166666667</v>
      </c>
      <c r="X82" s="1" t="s">
        <v>87</v>
      </c>
    </row>
    <row r="83" spans="1:26" ht="15" customHeight="1">
      <c r="A83" s="1" t="s">
        <v>88</v>
      </c>
      <c r="B83" s="33">
        <f>+'NEW-Tables 80-86'!B22+'NEW-Tables 80-86'!B52</f>
        <v>72143.024999999994</v>
      </c>
      <c r="C83" s="33">
        <f>+'NEW-Tables 80-86'!D22+'NEW-Tables 80-86'!C52</f>
        <v>21873.933333333331</v>
      </c>
      <c r="D83" s="33">
        <f>+'NEW-Tables 80-86'!F22+'NEW-Tables 80-86'!D52</f>
        <v>80739.183333333334</v>
      </c>
      <c r="E83" s="33">
        <f>+'NEW-Tables 80-86'!H22+'NEW-Tables 80-86'!E52</f>
        <v>5398.0666666666666</v>
      </c>
      <c r="F83" s="33">
        <f>+'NEW-Tables 80-86'!J22+'NEW-Tables 80-86'!F52</f>
        <v>11923.4</v>
      </c>
      <c r="G83" s="12">
        <f>+'NEW-Tables 80-86'!L22+'NEW-Tables 80-86'!G52</f>
        <v>6641.0666666666666</v>
      </c>
      <c r="H83" s="113">
        <f>+'NEW-Tables 80-86'!N22+'NEW-Tables 80-86'!H52</f>
        <v>198718.67500000002</v>
      </c>
      <c r="Q83" s="126">
        <f>+GETPIVOTDATA("Grand Total FTE - Old",'FTE Pivot for regular counts'!$A$2,"State","NC","Category",1,"Category2","Four-Year")</f>
        <v>71584.108333333337</v>
      </c>
      <c r="R83" s="126">
        <f>+GETPIVOTDATA("Grand Total FTE - Old",'FTE Pivot for regular counts'!$A$2,"State","NC","Category",2,"Category2","Four-Year")</f>
        <v>21486.066666666666</v>
      </c>
      <c r="S83" s="126">
        <f>+GETPIVOTDATA("Grand Total FTE - Old",'FTE Pivot for regular counts'!$A$2,"State","NC","Category",3,"Category2","Four-Year")</f>
        <v>80436.424999999988</v>
      </c>
      <c r="T83" s="126">
        <f>+GETPIVOTDATA("Grand Total FTE - Old",'FTE Pivot for regular counts'!$A$2,"State","NC","Category",4,"Category2","Four-Year")</f>
        <v>5222.2583333333332</v>
      </c>
      <c r="U83" s="126">
        <f>+GETPIVOTDATA("Grand Total FTE - Old",'FTE Pivot for regular counts'!$A$2,"State","NC","Category",5,"Category2","Four-Year")</f>
        <v>12339.8</v>
      </c>
      <c r="V83" s="126">
        <f>+GETPIVOTDATA("Grand Total FTE - Old",'FTE Pivot for regular counts'!$A$2,"State","NC","Category",6,"Category2","Four-Year")</f>
        <v>6813.8250000000007</v>
      </c>
      <c r="W83" s="126">
        <f>+GETPIVOTDATA("Grand Total FTE - Old",'FTE Pivot for regular counts'!$A$2,"State","NC","Category2","Four-Year")</f>
        <v>197882.48333333331</v>
      </c>
      <c r="X83" s="1" t="s">
        <v>88</v>
      </c>
    </row>
    <row r="84" spans="1:26" ht="15" customHeight="1">
      <c r="A84" s="1" t="s">
        <v>89</v>
      </c>
      <c r="B84" s="33">
        <f>+'NEW-Tables 80-86'!B23+'NEW-Tables 80-86'!B53</f>
        <v>46376.341666666667</v>
      </c>
      <c r="C84" s="33">
        <f>+'NEW-Tables 80-86'!D23+'NEW-Tables 80-86'!C53</f>
        <v>0</v>
      </c>
      <c r="D84" s="33">
        <f>+'NEW-Tables 80-86'!F23+'NEW-Tables 80-86'!D53</f>
        <v>21518.025000000001</v>
      </c>
      <c r="E84" s="33">
        <f>+'NEW-Tables 80-86'!H23+'NEW-Tables 80-86'!E53</f>
        <v>0</v>
      </c>
      <c r="F84" s="33">
        <f>+'NEW-Tables 80-86'!J23+'NEW-Tables 80-86'!F53</f>
        <v>21896.358333333334</v>
      </c>
      <c r="G84" s="12">
        <f>+'NEW-Tables 80-86'!L23+'NEW-Tables 80-86'!G53</f>
        <v>5744.1</v>
      </c>
      <c r="H84" s="113">
        <f>+'NEW-Tables 80-86'!N23+'NEW-Tables 80-86'!H53</f>
        <v>95534.825000000012</v>
      </c>
      <c r="Q84" s="126">
        <f>+GETPIVOTDATA("Grand Total FTE - Old",'FTE Pivot for regular counts'!$A$2,"State","OK","Category",1,"Category2","Four-Year")</f>
        <v>42740.983333333337</v>
      </c>
      <c r="R84" s="126">
        <f>+GETPIVOTDATA("Grand Total FTE - Old",'FTE Pivot for regular counts'!$A$2,"State","OK","Category",2,"Category2","Four-Year")</f>
        <v>0</v>
      </c>
      <c r="S84" s="126">
        <f>+GETPIVOTDATA("Grand Total FTE - Old",'FTE Pivot for regular counts'!$A$2,"State","OK","Category",3,"Category2","Four-Year")</f>
        <v>21021.883333333331</v>
      </c>
      <c r="T84" s="126">
        <f>+GETPIVOTDATA("Grand Total FTE - Old",'FTE Pivot for regular counts'!$A$2,"State","OK","Category",4,"Category2","Four-Year")</f>
        <v>0</v>
      </c>
      <c r="U84" s="126">
        <f>+GETPIVOTDATA("Grand Total FTE - Old",'FTE Pivot for regular counts'!$A$2,"State","OK","Category",5,"Category2","Four-Year")</f>
        <v>21723.058333333334</v>
      </c>
      <c r="V84" s="126">
        <f>+GETPIVOTDATA("Grand Total FTE - Old",'FTE Pivot for regular counts'!$A$2,"State","OK","Category",6,"Category2","Four-Year")</f>
        <v>5631.5</v>
      </c>
      <c r="W84" s="126">
        <f>+GETPIVOTDATA("Grand Total FTE - Old",'FTE Pivot for regular counts'!$A$2,"State","OK","Category2","Four-Year")</f>
        <v>91117.425000000003</v>
      </c>
      <c r="X84" s="1" t="s">
        <v>89</v>
      </c>
    </row>
    <row r="85" spans="1:26" ht="15" customHeight="1">
      <c r="A85" s="1" t="s">
        <v>90</v>
      </c>
      <c r="B85" s="33">
        <f>+'NEW-Tables 80-86'!B24+'NEW-Tables 80-86'!B54</f>
        <v>46084.174999999996</v>
      </c>
      <c r="C85" s="33">
        <f>+'NEW-Tables 80-86'!D24+'NEW-Tables 80-86'!C54</f>
        <v>0</v>
      </c>
      <c r="D85" s="33">
        <f>+'NEW-Tables 80-86'!F24+'NEW-Tables 80-86'!D54</f>
        <v>16328.766666666668</v>
      </c>
      <c r="E85" s="33">
        <f>+'NEW-Tables 80-86'!H24+'NEW-Tables 80-86'!E54</f>
        <v>3577.1833333333334</v>
      </c>
      <c r="F85" s="33">
        <f>+'NEW-Tables 80-86'!J24+'NEW-Tables 80-86'!F54</f>
        <v>16521.908333333333</v>
      </c>
      <c r="G85" s="12">
        <f>+'NEW-Tables 80-86'!L24+'NEW-Tables 80-86'!G54</f>
        <v>12438.141666666668</v>
      </c>
      <c r="H85" s="113">
        <f>+'NEW-Tables 80-86'!N24+'NEW-Tables 80-86'!H54</f>
        <v>94950.175000000017</v>
      </c>
      <c r="Q85" s="126">
        <f>+GETPIVOTDATA("Grand Total FTE - Old",'FTE Pivot for regular counts'!$A$2,"State","SC","Category",1,"Category2","Four-Year")</f>
        <v>44473.233333333337</v>
      </c>
      <c r="R85" s="126">
        <f>+GETPIVOTDATA("Grand Total FTE - Old",'FTE Pivot for regular counts'!$A$2,"State","SC","Category",2,"Category2","Four-Year")</f>
        <v>0</v>
      </c>
      <c r="S85" s="126">
        <f>+GETPIVOTDATA("Grand Total FTE - Old",'FTE Pivot for regular counts'!$A$2,"State","SC","Category",3,"Category2","Four-Year")</f>
        <v>16128.774999999998</v>
      </c>
      <c r="T85" s="126">
        <f>+GETPIVOTDATA("Grand Total FTE - Old",'FTE Pivot for regular counts'!$A$2,"State","SC","Category",4,"Category2","Four-Year")</f>
        <v>3508.45</v>
      </c>
      <c r="U85" s="126">
        <f>+GETPIVOTDATA("Grand Total FTE - Old",'FTE Pivot for regular counts'!$A$2,"State","SC","Category",5,"Category2","Four-Year")</f>
        <v>16209.183333333334</v>
      </c>
      <c r="V85" s="126">
        <f>+GETPIVOTDATA("Grand Total FTE - Old",'FTE Pivot for regular counts'!$A$2,"State","SC","Category",6,"Category2","Four-Year")</f>
        <v>12238.691666666668</v>
      </c>
      <c r="W85" s="126">
        <f>+GETPIVOTDATA("Grand Total FTE - Old",'FTE Pivot for regular counts'!$A$2,"State","SC","Category2","Four-Year")</f>
        <v>92558.333333333328</v>
      </c>
      <c r="X85" s="1" t="s">
        <v>90</v>
      </c>
    </row>
    <row r="86" spans="1:26" ht="15" customHeight="1">
      <c r="B86" s="33"/>
      <c r="C86" s="33"/>
      <c r="D86" s="33"/>
      <c r="E86" s="33"/>
      <c r="F86" s="33"/>
      <c r="G86" s="12"/>
      <c r="H86" s="113"/>
      <c r="Q86" s="126"/>
      <c r="R86" s="126"/>
      <c r="S86" s="126"/>
      <c r="T86" s="126"/>
      <c r="U86" s="126"/>
      <c r="V86" s="126"/>
      <c r="W86" s="126"/>
    </row>
    <row r="87" spans="1:26" ht="15" customHeight="1">
      <c r="A87" s="1" t="s">
        <v>91</v>
      </c>
      <c r="B87" s="33">
        <f>+'NEW-Tables 80-86'!B26+'NEW-Tables 80-86'!B56</f>
        <v>40921.566666666666</v>
      </c>
      <c r="C87" s="33">
        <f>+'NEW-Tables 80-86'!D26+'NEW-Tables 80-86'!C56</f>
        <v>7687.5249999999996</v>
      </c>
      <c r="D87" s="33">
        <f>+'NEW-Tables 80-86'!F26+'NEW-Tables 80-86'!D56</f>
        <v>64203.25</v>
      </c>
      <c r="E87" s="33">
        <f>+'NEW-Tables 80-86'!H26+'NEW-Tables 80-86'!E56</f>
        <v>0</v>
      </c>
      <c r="F87" s="33">
        <f>+'NEW-Tables 80-86'!J26+'NEW-Tables 80-86'!F56</f>
        <v>6774.9833333333327</v>
      </c>
      <c r="G87" s="12">
        <f>+'NEW-Tables 80-86'!L26+'NEW-Tables 80-86'!G56</f>
        <v>0</v>
      </c>
      <c r="H87" s="113">
        <f>+'NEW-Tables 80-86'!N26+'NEW-Tables 80-86'!H56</f>
        <v>119587.32499999998</v>
      </c>
      <c r="Q87" s="126">
        <f>+GETPIVOTDATA("Grand Total FTE - Old",'FTE Pivot for regular counts'!$A$2,"State","TN","Category",1,"Category2","Four-Year")</f>
        <v>43271.616666666669</v>
      </c>
      <c r="R87" s="126">
        <f>+GETPIVOTDATA("Grand Total FTE - Old",'FTE Pivot for regular counts'!$A$2,"State","TN","Category",2,"Category2","Four-Year")</f>
        <v>7635.9083333333328</v>
      </c>
      <c r="S87" s="126">
        <f>+GETPIVOTDATA("Grand Total FTE - Old",'FTE Pivot for regular counts'!$A$2,"State","TN","Category",3,"Category2","Four-Year")</f>
        <v>63124.399999999994</v>
      </c>
      <c r="T87" s="126">
        <f>+GETPIVOTDATA("Grand Total FTE - Old",'FTE Pivot for regular counts'!$A$2,"State","TN","Category",4,"Category2","Four-Year")</f>
        <v>0</v>
      </c>
      <c r="U87" s="126">
        <f>+GETPIVOTDATA("Grand Total FTE - Old",'FTE Pivot for regular counts'!$A$2,"State","TN","Category",5,"Category2","Four-Year")</f>
        <v>7146.4916666666668</v>
      </c>
      <c r="V87" s="126">
        <f>+GETPIVOTDATA("Grand Total FTE - Old",'FTE Pivot for regular counts'!$A$2,"State","TN","Category",6,"Category2","Four-Year")</f>
        <v>0</v>
      </c>
      <c r="W87" s="126">
        <f>+GETPIVOTDATA("Grand Total FTE - Old",'FTE Pivot for regular counts'!$A$2,"State","TN","Category2","Four-Year")</f>
        <v>121178.41666666666</v>
      </c>
      <c r="X87" s="1" t="s">
        <v>91</v>
      </c>
    </row>
    <row r="88" spans="1:26" ht="15" customHeight="1">
      <c r="A88" s="1" t="s">
        <v>92</v>
      </c>
      <c r="B88" s="33">
        <f>+'NEW-Tables 80-86'!B27+'NEW-Tables 80-86'!B57</f>
        <v>222420.90000000002</v>
      </c>
      <c r="C88" s="33">
        <f>+'NEW-Tables 80-86'!D27+'NEW-Tables 80-86'!C57</f>
        <v>54080.675000000003</v>
      </c>
      <c r="D88" s="33">
        <f>+'NEW-Tables 80-86'!F27+'NEW-Tables 80-86'!D57</f>
        <v>170417.81666666665</v>
      </c>
      <c r="E88" s="33">
        <f>+'NEW-Tables 80-86'!H27+'NEW-Tables 80-86'!E57</f>
        <v>4484.9916666666668</v>
      </c>
      <c r="F88" s="33">
        <f>+'NEW-Tables 80-86'!J27+'NEW-Tables 80-86'!F57</f>
        <v>9723.4083333333347</v>
      </c>
      <c r="G88" s="12">
        <f>+'NEW-Tables 80-86'!L27+'NEW-Tables 80-86'!G57</f>
        <v>1855.9916666666666</v>
      </c>
      <c r="H88" s="113">
        <f>+'NEW-Tables 80-86'!N27+'NEW-Tables 80-86'!H57</f>
        <v>462983.78333333333</v>
      </c>
      <c r="Q88" s="126">
        <f>+GETPIVOTDATA("Grand Total FTE - Old",'FTE Pivot for regular counts'!$A$2,"State","TX","Category",1,"Category2","Four-Year")</f>
        <v>216254</v>
      </c>
      <c r="R88" s="126">
        <f>+GETPIVOTDATA("Grand Total FTE - Old",'FTE Pivot for regular counts'!$A$2,"State","TX","Category",2,"Category2","Four-Year")</f>
        <v>51816.25</v>
      </c>
      <c r="S88" s="126">
        <f>+GETPIVOTDATA("Grand Total FTE - Old",'FTE Pivot for regular counts'!$A$2,"State","TX","Category",3,"Category2","Four-Year")</f>
        <v>167001.73333333337</v>
      </c>
      <c r="T88" s="126">
        <f>+GETPIVOTDATA("Grand Total FTE - Old",'FTE Pivot for regular counts'!$A$2,"State","TX","Category",4,"Category2","Four-Year")</f>
        <v>4103.2583333333332</v>
      </c>
      <c r="U88" s="126">
        <f>+GETPIVOTDATA("Grand Total FTE - Old",'FTE Pivot for regular counts'!$A$2,"State","TX","Category",5,"Category2","Four-Year")</f>
        <v>9625.5416666666661</v>
      </c>
      <c r="V88" s="126">
        <f>+GETPIVOTDATA("Grand Total FTE - Old",'FTE Pivot for regular counts'!$A$2,"State","TX","Category",6,"Category2","Four-Year")</f>
        <v>1690.8666666666666</v>
      </c>
      <c r="W88" s="126">
        <f>+GETPIVOTDATA("Grand Total FTE - Old",'FTE Pivot for regular counts'!$A$2,"State","TX","Category2","Four-Year")</f>
        <v>450491.65000000008</v>
      </c>
      <c r="X88" s="1" t="s">
        <v>92</v>
      </c>
    </row>
    <row r="89" spans="1:26" ht="15" customHeight="1">
      <c r="A89" s="1" t="s">
        <v>93</v>
      </c>
      <c r="B89" s="33">
        <f>+'NEW-Tables 80-86'!B28+'NEW-Tables 80-86'!B58</f>
        <v>101312.63750000001</v>
      </c>
      <c r="C89" s="33">
        <f>+'NEW-Tables 80-86'!D28+'NEW-Tables 80-86'!C58</f>
        <v>35664.895833333336</v>
      </c>
      <c r="D89" s="33">
        <f>+'NEW-Tables 80-86'!F28+'NEW-Tables 80-86'!D58</f>
        <v>25153.966666666667</v>
      </c>
      <c r="E89" s="33">
        <f>+'NEW-Tables 80-86'!H28+'NEW-Tables 80-86'!E58</f>
        <v>19217.8</v>
      </c>
      <c r="F89" s="33">
        <f>+'NEW-Tables 80-86'!J28+'NEW-Tables 80-86'!F58</f>
        <v>9478.4166666666661</v>
      </c>
      <c r="G89" s="12">
        <f>+'NEW-Tables 80-86'!L28+'NEW-Tables 80-86'!G58</f>
        <v>1723.6666666666667</v>
      </c>
      <c r="H89" s="113">
        <f>+'NEW-Tables 80-86'!N28+'NEW-Tables 80-86'!H58</f>
        <v>192551.38333333336</v>
      </c>
      <c r="Q89" s="126">
        <f>+GETPIVOTDATA("Grand Total FTE - Old",'FTE Pivot for regular counts'!$A$2,"State","VA","Category",1,"Category2","Four-Year")</f>
        <v>99370.349999999991</v>
      </c>
      <c r="R89" s="126">
        <f>+GETPIVOTDATA("Grand Total FTE - Old",'FTE Pivot for regular counts'!$A$2,"State","VA","Category",2,"Category2","Four-Year")</f>
        <v>35654.300000000003</v>
      </c>
      <c r="S89" s="126">
        <f>+GETPIVOTDATA("Grand Total FTE - Old",'FTE Pivot for regular counts'!$A$2,"State","VA","Category",3,"Category2","Four-Year")</f>
        <v>24618.850000000002</v>
      </c>
      <c r="T89" s="126">
        <f>+GETPIVOTDATA("Grand Total FTE - Old",'FTE Pivot for regular counts'!$A$2,"State","VA","Category",4,"Category2","Four-Year")</f>
        <v>18688.775000000001</v>
      </c>
      <c r="U89" s="126">
        <f>+GETPIVOTDATA("Grand Total FTE - Old",'FTE Pivot for regular counts'!$A$2,"State","VA","Category",5,"Category2","Four-Year")</f>
        <v>9467.4249999999993</v>
      </c>
      <c r="V89" s="126">
        <f>+GETPIVOTDATA("Grand Total FTE - Old",'FTE Pivot for regular counts'!$A$2,"State","VA","Category",6,"Category2","Four-Year")</f>
        <v>1689.9766666666667</v>
      </c>
      <c r="W89" s="126">
        <f>+GETPIVOTDATA("Grand Total FTE - Old",'FTE Pivot for regular counts'!$A$2,"State","VA","Category2","Four-Year")</f>
        <v>189489.67666666664</v>
      </c>
      <c r="X89" s="1" t="s">
        <v>93</v>
      </c>
    </row>
    <row r="90" spans="1:26" ht="15" customHeight="1">
      <c r="A90" s="3" t="s">
        <v>94</v>
      </c>
      <c r="B90" s="13">
        <f>+'NEW-Tables 80-86'!B29+'NEW-Tables 80-86'!B59</f>
        <v>26786.391666666666</v>
      </c>
      <c r="C90" s="13">
        <f>+'NEW-Tables 80-86'!D29+'NEW-Tables 80-86'!C59</f>
        <v>0</v>
      </c>
      <c r="D90" s="13">
        <f>+'NEW-Tables 80-86'!F29+'NEW-Tables 80-86'!D59</f>
        <v>11462.283333333333</v>
      </c>
      <c r="E90" s="13">
        <f>+'NEW-Tables 80-86'!H29+'NEW-Tables 80-86'!E59</f>
        <v>0</v>
      </c>
      <c r="F90" s="13">
        <f>+'NEW-Tables 80-86'!J29+'NEW-Tables 80-86'!F59</f>
        <v>8073.3083333333334</v>
      </c>
      <c r="G90" s="14">
        <f>+'NEW-Tables 80-86'!L29+'NEW-Tables 80-86'!G59</f>
        <v>12244.656666666666</v>
      </c>
      <c r="H90" s="114">
        <f>+'NEW-Tables 80-86'!N29+'NEW-Tables 80-86'!H59</f>
        <v>58566.640000000007</v>
      </c>
      <c r="Q90" s="126">
        <f>+GETPIVOTDATA("Grand Total FTE - Old",'FTE Pivot for regular counts'!$A$2,"State","WV","Category",1,"Category2","Four-Year")</f>
        <v>26417.666666666664</v>
      </c>
      <c r="R90" s="126">
        <f>+GETPIVOTDATA("Grand Total FTE - Old",'FTE Pivot for regular counts'!$A$2,"State","WV","Category",2,"Category2","Four-Year")</f>
        <v>0</v>
      </c>
      <c r="S90" s="126">
        <f>+GETPIVOTDATA("Grand Total FTE - Old",'FTE Pivot for regular counts'!$A$2,"State","WV","Category",3,"Category2","Four-Year")</f>
        <v>11283.4</v>
      </c>
      <c r="T90" s="126">
        <f>+GETPIVOTDATA("Grand Total FTE - Old",'FTE Pivot for regular counts'!$A$2,"State","WV","Category",4,"Category2","Four-Year")</f>
        <v>0</v>
      </c>
      <c r="U90" s="126">
        <f>+GETPIVOTDATA("Grand Total FTE - Old",'FTE Pivot for regular counts'!$A$2,"State","WV","Category",5,"Category2","Four-Year")</f>
        <v>7989.2166666666672</v>
      </c>
      <c r="V90" s="126">
        <f>+GETPIVOTDATA("Grand Total FTE - Old",'FTE Pivot for regular counts'!$A$2,"State","WV","Category",6,"Category2","Four-Year")</f>
        <v>12399.646666666666</v>
      </c>
      <c r="W90" s="126">
        <f>+GETPIVOTDATA("Grand Total FTE - Old",'FTE Pivot for regular counts'!$A$2,"State","WV","Category2","Four-Year")</f>
        <v>58089.93</v>
      </c>
      <c r="X90" s="25" t="s">
        <v>94</v>
      </c>
    </row>
    <row r="91" spans="1:26" s="25" customFormat="1" ht="47.25" customHeight="1">
      <c r="A91" s="811" t="s">
        <v>1002</v>
      </c>
      <c r="B91" s="811"/>
      <c r="C91" s="811"/>
      <c r="D91" s="811"/>
      <c r="E91" s="811"/>
      <c r="F91" s="811"/>
      <c r="G91" s="811"/>
      <c r="H91" s="811"/>
      <c r="I91" s="15"/>
      <c r="J91" s="103"/>
      <c r="K91" s="103"/>
      <c r="L91" s="103"/>
      <c r="M91" s="103"/>
    </row>
    <row r="92" spans="1:26" ht="10.5" customHeight="1">
      <c r="A92" s="725"/>
      <c r="B92" s="725"/>
      <c r="C92" s="725"/>
      <c r="D92" s="725"/>
      <c r="E92" s="725"/>
      <c r="F92" s="725"/>
      <c r="G92" s="725"/>
      <c r="H92" s="169" t="s">
        <v>1018</v>
      </c>
    </row>
    <row r="93" spans="1:26">
      <c r="A93" s="49"/>
      <c r="B93" s="50"/>
      <c r="C93" s="50"/>
      <c r="D93" s="50"/>
      <c r="E93" s="50"/>
      <c r="F93" s="50"/>
      <c r="G93" s="50"/>
      <c r="H93" s="169"/>
    </row>
    <row r="94" spans="1:26" ht="18">
      <c r="A94" s="812" t="s">
        <v>225</v>
      </c>
      <c r="B94" s="812"/>
      <c r="C94" s="812"/>
      <c r="D94" s="812"/>
      <c r="E94" s="812"/>
      <c r="F94" s="812"/>
      <c r="G94" s="812"/>
      <c r="H94" s="812"/>
      <c r="I94" s="812"/>
      <c r="J94" s="812"/>
      <c r="K94" s="164"/>
      <c r="L94" s="164"/>
      <c r="M94" s="178"/>
    </row>
    <row r="95" spans="1:26" ht="15.75">
      <c r="A95" s="21"/>
      <c r="B95" s="21"/>
      <c r="C95" s="21"/>
      <c r="D95" s="21"/>
      <c r="E95" s="21"/>
      <c r="F95" s="21"/>
      <c r="G95" s="21"/>
      <c r="H95" s="105"/>
      <c r="I95" s="21"/>
      <c r="J95" s="105"/>
      <c r="K95" s="105"/>
      <c r="L95" s="105"/>
      <c r="M95" s="198"/>
      <c r="Q95" s="1" t="s">
        <v>49</v>
      </c>
    </row>
    <row r="96" spans="1:26" ht="15.75">
      <c r="A96" s="813" t="s">
        <v>45</v>
      </c>
      <c r="B96" s="813"/>
      <c r="C96" s="813"/>
      <c r="D96" s="813"/>
      <c r="E96" s="813"/>
      <c r="F96" s="813"/>
      <c r="G96" s="813"/>
      <c r="H96" s="813"/>
      <c r="I96" s="813"/>
      <c r="J96" s="813"/>
      <c r="K96" s="132"/>
      <c r="L96" s="132"/>
      <c r="M96" s="199"/>
      <c r="Q96" s="196" t="s">
        <v>45</v>
      </c>
      <c r="R96" s="132"/>
      <c r="S96" s="132"/>
      <c r="T96" s="132"/>
      <c r="U96" s="132"/>
      <c r="V96" s="132"/>
      <c r="W96" s="132"/>
      <c r="X96" s="132"/>
      <c r="Y96" s="132"/>
      <c r="Z96" s="132"/>
    </row>
    <row r="97" spans="1:26" ht="15.75">
      <c r="A97" s="813" t="s">
        <v>988</v>
      </c>
      <c r="B97" s="813"/>
      <c r="C97" s="813"/>
      <c r="D97" s="813"/>
      <c r="E97" s="813"/>
      <c r="F97" s="813"/>
      <c r="G97" s="813"/>
      <c r="H97" s="813"/>
      <c r="I97" s="813"/>
      <c r="J97" s="813"/>
      <c r="K97" s="132"/>
      <c r="L97" s="132"/>
      <c r="M97" s="199"/>
      <c r="Q97" s="196" t="s">
        <v>229</v>
      </c>
      <c r="R97" s="132"/>
      <c r="S97" s="132"/>
      <c r="T97" s="132"/>
      <c r="U97" s="132"/>
      <c r="V97" s="132"/>
      <c r="W97" s="132"/>
      <c r="X97" s="132"/>
      <c r="Y97" s="132"/>
      <c r="Z97" s="132"/>
    </row>
    <row r="98" spans="1:26">
      <c r="B98" s="2"/>
      <c r="C98" s="2"/>
      <c r="D98" s="2"/>
      <c r="E98" s="2"/>
      <c r="F98" s="2"/>
      <c r="G98" s="2"/>
      <c r="H98" s="107"/>
      <c r="I98" s="2"/>
      <c r="J98" s="107"/>
      <c r="K98" s="107"/>
      <c r="L98" s="107"/>
      <c r="M98" s="191"/>
      <c r="Q98" s="197"/>
      <c r="R98" s="2"/>
      <c r="S98" s="2"/>
      <c r="T98" s="2"/>
      <c r="U98" s="2"/>
      <c r="V98" s="2"/>
      <c r="W98" s="2"/>
      <c r="X98" s="2"/>
      <c r="Y98" s="2"/>
      <c r="Z98" s="2"/>
    </row>
    <row r="99" spans="1:26" ht="15" customHeight="1">
      <c r="A99" s="44"/>
      <c r="B99" s="56" t="s">
        <v>78</v>
      </c>
      <c r="C99" s="56"/>
      <c r="D99" s="27"/>
      <c r="E99" s="27"/>
      <c r="F99" s="28"/>
      <c r="G99" s="57" t="s">
        <v>56</v>
      </c>
      <c r="H99" s="91"/>
      <c r="I99" s="92"/>
      <c r="K99" s="170" t="s">
        <v>39</v>
      </c>
      <c r="L99" s="170"/>
      <c r="M99" s="170"/>
      <c r="Q99" s="44"/>
      <c r="R99" s="56" t="s">
        <v>78</v>
      </c>
      <c r="S99" s="56"/>
      <c r="T99" s="27"/>
      <c r="U99" s="27"/>
      <c r="V99" s="28"/>
      <c r="W99" s="737" t="s">
        <v>56</v>
      </c>
      <c r="X99" s="738"/>
      <c r="Y99" s="739"/>
      <c r="Z99" s="735" t="s">
        <v>39</v>
      </c>
    </row>
    <row r="100" spans="1:26" ht="24">
      <c r="A100" s="45"/>
      <c r="B100" s="58" t="s">
        <v>156</v>
      </c>
      <c r="C100" s="46">
        <v>1</v>
      </c>
      <c r="D100" s="46">
        <v>2</v>
      </c>
      <c r="E100" s="46">
        <v>3</v>
      </c>
      <c r="F100" s="59" t="s">
        <v>41</v>
      </c>
      <c r="G100" s="60">
        <v>1</v>
      </c>
      <c r="H100" s="94">
        <v>2</v>
      </c>
      <c r="I100" s="93" t="s">
        <v>41</v>
      </c>
      <c r="K100" s="123"/>
      <c r="L100" s="123"/>
      <c r="M100" s="123"/>
      <c r="Q100" s="45"/>
      <c r="R100" s="58" t="s">
        <v>156</v>
      </c>
      <c r="S100" s="46">
        <v>1</v>
      </c>
      <c r="T100" s="46">
        <v>2</v>
      </c>
      <c r="U100" s="46">
        <v>3</v>
      </c>
      <c r="V100" s="59" t="s">
        <v>41</v>
      </c>
      <c r="W100" s="60">
        <v>1</v>
      </c>
      <c r="X100" s="47">
        <v>2</v>
      </c>
      <c r="Y100" s="46" t="s">
        <v>41</v>
      </c>
      <c r="Z100" s="736"/>
    </row>
    <row r="101" spans="1:26" ht="15" customHeight="1">
      <c r="A101" s="1" t="s">
        <v>79</v>
      </c>
      <c r="B101" s="5">
        <f>+GETPIVOTDATA("Undergrad Student Credit Hour FTE - New",'FTE Pivot for regular counts'!$A$2,"Category","7","Category2","Two-Year")</f>
        <v>198182.16666666669</v>
      </c>
      <c r="C101" s="15">
        <f>+GETPIVOTDATA("Undergrad Student Credit Hour FTE - New",'FTE Pivot for regular counts'!$A$2,"Category","8","Category2","Two-Year")</f>
        <v>1048548.4763333334</v>
      </c>
      <c r="D101" s="5">
        <f>+GETPIVOTDATA("Undergrad Student Credit Hour FTE - New",'FTE Pivot for regular counts'!$A$2,"Category","9","Category2","Two-Year")</f>
        <v>456039.52066666674</v>
      </c>
      <c r="E101" s="5">
        <f>+GETPIVOTDATA("Undergrad Student Credit Hour FTE - New",'FTE Pivot for regular counts'!$A$2,"Category","10","Category2","Two-Year")</f>
        <v>145615.95766666663</v>
      </c>
      <c r="F101" s="23">
        <f>+GETPIVOTDATA("Undergrad Student Credit Hour FTE - New",'FTE Pivot for regular counts'!$A$2,"Category2","Two-Year")</f>
        <v>1848386.1213333332</v>
      </c>
      <c r="G101" s="18">
        <f>+GETPIVOTDATA("Undergrad Student Credit Hour FTE - New",'FTE Pivot for regular counts'!$A$2,"Category","12","Category2","Technical")</f>
        <v>121800.91666666666</v>
      </c>
      <c r="H101" s="103">
        <f>+GETPIVOTDATA("Undergrad Student Credit Hour FTE - New",'FTE Pivot for regular counts'!$A$2,"Category","13","Category2","Technical")</f>
        <v>2468.5</v>
      </c>
      <c r="I101" s="4">
        <f>+GETPIVOTDATA("Undergrad Student Credit Hour FTE - New",'FTE Pivot for regular counts'!$A$2,"Category2","Technical")</f>
        <v>124269.41666666666</v>
      </c>
      <c r="Q101" s="1" t="s">
        <v>79</v>
      </c>
      <c r="R101" s="5">
        <f>+GETPIVOTDATA("Undergrad Student Credit Hour  FTE - Old",'FTE Pivot for regular counts'!$A$2,"Category","7","Category2","Two-Year")</f>
        <v>194323.06666666665</v>
      </c>
      <c r="S101" s="15">
        <f>+GETPIVOTDATA("Undergrad Student Credit Hour  FTE - Old",'FTE Pivot for regular counts'!$A$2,"Category","8","Category2","Two-Year")</f>
        <v>1028993.5033333335</v>
      </c>
      <c r="T101" s="5">
        <f>+GETPIVOTDATA("Undergrad Student Credit Hour  FTE - Old",'FTE Pivot for regular counts'!$A$2,"Category","9","Category2","Two-Year")</f>
        <v>461835.94666666671</v>
      </c>
      <c r="U101" s="5">
        <f>+GETPIVOTDATA("Undergrad Student Credit Hour  FTE - Old",'FTE Pivot for regular counts'!$A$2,"Category","10","Category2","Two-Year")</f>
        <v>146918.98166666666</v>
      </c>
      <c r="V101" s="23">
        <f>+GETPIVOTDATA("Undergrad Student Credit Hour  FTE - Old",'FTE Pivot for regular counts'!$A$2,"Category2","Two-Year")</f>
        <v>1832071.4983333333</v>
      </c>
      <c r="W101" s="18">
        <f>+GETPIVOTDATA("Undergrad Student Credit Hour  FTE - Old",'FTE Pivot for regular counts'!$A$2,"Category","12","Category2","Technical")</f>
        <v>129124.27899299997</v>
      </c>
      <c r="X101" s="15">
        <f>+GETPIVOTDATA("Undergrad Student Credit Hour  FTE - Old",'FTE Pivot for regular counts'!$A$2,"Category","13","Category2","Technical")</f>
        <v>2644.5</v>
      </c>
      <c r="Y101" s="1">
        <f>+GETPIVOTDATA("Undergrad Student Credit Hour  FTE - Old",'FTE Pivot for regular counts'!$A$2,"Category2","Technical")</f>
        <v>131768.77899299999</v>
      </c>
      <c r="Z101" s="25"/>
    </row>
    <row r="102" spans="1:26" ht="15" customHeight="1">
      <c r="B102" s="5"/>
      <c r="C102" s="15"/>
      <c r="D102" s="5"/>
      <c r="E102" s="5"/>
      <c r="F102" s="23"/>
      <c r="G102" s="18"/>
      <c r="H102" s="103"/>
      <c r="I102" s="4"/>
      <c r="R102" s="5"/>
      <c r="S102" s="15"/>
      <c r="T102" s="5"/>
      <c r="U102" s="5"/>
      <c r="V102" s="23"/>
      <c r="W102" s="18"/>
      <c r="X102" s="15"/>
      <c r="Z102" s="25"/>
    </row>
    <row r="103" spans="1:26" ht="15" customHeight="1">
      <c r="A103" s="1" t="s">
        <v>80</v>
      </c>
      <c r="B103" s="5">
        <f>+GETPIVOTDATA("Undergrad Student Credit Hour FTE - New",'FTE Pivot for regular counts'!$A$2,"State","AL","Category","7","Category2","Two-Year")</f>
        <v>0</v>
      </c>
      <c r="C103" s="15">
        <f>+GETPIVOTDATA("Undergrad Student Credit Hour FTE - New",'FTE Pivot for regular counts'!$A$2,"State","AL","Category","8","Category2","Two-Year")</f>
        <v>26710.799999999999</v>
      </c>
      <c r="D103" s="5">
        <f>+GETPIVOTDATA("Undergrad Student Credit Hour FTE - New",'FTE Pivot for regular counts'!$A$2,"State","AL","Category","9","Category2","Two-Year")</f>
        <v>38344.900000000009</v>
      </c>
      <c r="E103" s="5">
        <f>+GETPIVOTDATA("Undergrad Student Credit Hour FTE - New",'FTE Pivot for regular counts'!$A$2,"State","AL","Category","10","Category2","Two-Year")</f>
        <v>9439</v>
      </c>
      <c r="F103" s="23">
        <f>+GETPIVOTDATA("Undergrad Student Credit Hour FTE - New",'FTE Pivot for regular counts'!$A$2,"State","AL","Category2","Two-Year")</f>
        <v>74494.700000000012</v>
      </c>
      <c r="G103" s="18">
        <f>+GETPIVOTDATA("Undergrad Student Credit Hour FTE - New",'FTE Pivot for regular counts'!$A$2,"State","AL","Category","12","Category2","Technical")</f>
        <v>1650.0666666666666</v>
      </c>
      <c r="H103" s="103">
        <f>+GETPIVOTDATA("Undergrad Student Credit Hour FTE - New",'FTE Pivot for regular counts'!$A$2,"State","AL","Category","13","Category2","Technical")</f>
        <v>2468.5</v>
      </c>
      <c r="I103" s="4">
        <f>+GETPIVOTDATA("Undergrad Student Credit Hour FTE - New",'FTE Pivot for regular counts'!$A$2,"State","AL","Category2","Technical")</f>
        <v>4118.5666666666666</v>
      </c>
      <c r="Q103" s="1" t="s">
        <v>80</v>
      </c>
      <c r="R103" s="5">
        <f>+GETPIVOTDATA("Undergrad Student Credit Hour  FTE - Old",'FTE Pivot for regular counts'!$A$2,"State","AL","Category","7","Category2","Two-Year")</f>
        <v>0</v>
      </c>
      <c r="S103" s="15">
        <f>+GETPIVOTDATA("Undergrad Student Credit Hour  FTE - Old",'FTE Pivot for regular counts'!$A$2,"State","AL","Category","8","Category2","Two-Year")</f>
        <v>27220.566666666669</v>
      </c>
      <c r="T103" s="5">
        <f>+GETPIVOTDATA("Undergrad Student Credit Hour  FTE - Old",'FTE Pivot for regular counts'!$A$2,"State","AL","Category","9","Category2","Two-Year")</f>
        <v>40140.033333333333</v>
      </c>
      <c r="U103" s="5">
        <f>+GETPIVOTDATA("Undergrad Student Credit Hour  FTE - Old",'FTE Pivot for regular counts'!$A$2,"State","AL","Category","10","Category2","Two-Year")</f>
        <v>9758.6666666666661</v>
      </c>
      <c r="V103" s="23">
        <f>+GETPIVOTDATA("Undergrad Student Credit Hour  FTE - Old",'FTE Pivot for regular counts'!$A$2,"State","AL","Category2","Two-Year")</f>
        <v>77119.266666666677</v>
      </c>
      <c r="W103" s="18">
        <f>+GETPIVOTDATA("Undergrad Student Credit Hour  FTE - Old",'FTE Pivot for regular counts'!$A$2,"State","AL","Category","12","Category2","Technical")</f>
        <v>1657.2333333333333</v>
      </c>
      <c r="X103" s="15">
        <f>+GETPIVOTDATA("Undergrad Student Credit Hour  FTE - Old",'FTE Pivot for regular counts'!$A$2,"State","AL","Category","13","Category2","Technical")</f>
        <v>2644.5</v>
      </c>
      <c r="Y103" s="1">
        <f>+GETPIVOTDATA("Undergrad Student Credit Hour  FTE - Old",'FTE Pivot for regular counts'!$A$2,"State","AL","Category2","Technical")</f>
        <v>4301.7333333333336</v>
      </c>
      <c r="Z103" s="25"/>
    </row>
    <row r="104" spans="1:26" ht="15" customHeight="1">
      <c r="A104" s="4" t="s">
        <v>81</v>
      </c>
      <c r="B104" s="15">
        <f>+GETPIVOTDATA("Undergrad Student Credit Hour FTE - New",'FTE Pivot for regular counts'!$A$2,"State","AR","Category","7","Category2","Two-Year")</f>
        <v>0</v>
      </c>
      <c r="C104" s="15">
        <f>+GETPIVOTDATA("Undergrad Student Credit Hour FTE - New",'FTE Pivot for regular counts'!$A$2,"State","AR","Category","8","Category2","Two-Year")</f>
        <v>14524.8</v>
      </c>
      <c r="D104" s="15">
        <f>+GETPIVOTDATA("Undergrad Student Credit Hour FTE - New",'FTE Pivot for regular counts'!$A$2,"State","AR","Category","9","Category2","Two-Year")</f>
        <v>6430.5</v>
      </c>
      <c r="E104" s="15">
        <f>+GETPIVOTDATA("Undergrad Student Credit Hour FTE - New",'FTE Pivot for regular counts'!$A$2,"State","AR","Category","10","Category2","Two-Year")</f>
        <v>24259.73333333333</v>
      </c>
      <c r="F104" s="23">
        <f>+GETPIVOTDATA("Undergrad Student Credit Hour FTE - New",'FTE Pivot for regular counts'!$A$2,"State","AR","Category2","Two-Year")</f>
        <v>45215.033333333326</v>
      </c>
      <c r="G104" s="18">
        <f>+GETPIVOTDATA("Undergrad Student Credit Hour FTE - New",'FTE Pivot for regular counts'!$A$2,"State","AR","Category","12","Category2","Technical")</f>
        <v>0</v>
      </c>
      <c r="H104" s="103">
        <f>+GETPIVOTDATA("Undergrad Student Credit Hour FTE - New",'FTE Pivot for regular counts'!$A$2,"State","AR","Category","13","Category2","Technical")</f>
        <v>0</v>
      </c>
      <c r="I104" s="73">
        <f>+GETPIVOTDATA("Undergrad Student Credit Hour FTE - New",'FTE Pivot for regular counts'!$A$2,"State","AR","Category2","Technical")</f>
        <v>0</v>
      </c>
      <c r="K104" s="73"/>
      <c r="L104" s="73"/>
      <c r="Q104" s="4" t="s">
        <v>81</v>
      </c>
      <c r="R104" s="15">
        <f>+GETPIVOTDATA("Undergrad Student Credit Hour  FTE - Old",'FTE Pivot for regular counts'!$A$2,"State","AR","Category","7","Category2","Two-Year")</f>
        <v>0</v>
      </c>
      <c r="S104" s="15">
        <f>+GETPIVOTDATA("Undergrad Student Credit Hour  FTE - Old",'FTE Pivot for regular counts'!$A$2,"State","AR","Category","8","Category2","Two-Year")</f>
        <v>13906.1</v>
      </c>
      <c r="T104" s="15">
        <f>+GETPIVOTDATA("Undergrad Student Credit Hour  FTE - Old",'FTE Pivot for regular counts'!$A$2,"State","AR","Category","9","Category2","Two-Year")</f>
        <v>6435.2</v>
      </c>
      <c r="U104" s="15">
        <f>+GETPIVOTDATA("Undergrad Student Credit Hour  FTE - Old",'FTE Pivot for regular counts'!$A$2,"State","AR","Category","10","Category2","Two-Year")</f>
        <v>24747.599999999999</v>
      </c>
      <c r="V104" s="23">
        <f>+GETPIVOTDATA("Undergrad Student Credit Hour  FTE - Old",'FTE Pivot for regular counts'!$A$2,"State","AR","Category2","Two-Year")</f>
        <v>45088.899999999994</v>
      </c>
      <c r="W104" s="18">
        <f>+GETPIVOTDATA("Undergrad Student Credit Hour  FTE - Old",'FTE Pivot for regular counts'!$A$2,"State","AR","Category","12","Category2","Technical")</f>
        <v>0</v>
      </c>
      <c r="X104" s="15">
        <f>+GETPIVOTDATA("Undergrad Student Credit Hour  FTE - Old",'FTE Pivot for regular counts'!$A$2,"State","AR","Category","13","Category2","Technical")</f>
        <v>0</v>
      </c>
      <c r="Y104" s="25">
        <f>+GETPIVOTDATA("Undergrad Student Credit Hour  FTE - Old",'FTE Pivot for regular counts'!$A$2,"State","AR","Category2","Technical")</f>
        <v>0</v>
      </c>
      <c r="Z104" s="25"/>
    </row>
    <row r="105" spans="1:26" ht="15" customHeight="1">
      <c r="A105" s="1" t="s">
        <v>118</v>
      </c>
      <c r="B105" s="15">
        <f>+GETPIVOTDATA("Undergrad Student Credit Hour FTE - New",'FTE Pivot for regular counts'!$A$2,"State","DE","Category","7","Category2","Two-Year")</f>
        <v>0</v>
      </c>
      <c r="C105" s="15">
        <f>+GETPIVOTDATA("Undergrad Student Credit Hour FTE - New",'FTE Pivot for regular counts'!$A$2,"State","DE","Category","8","Category2","Two-Year")</f>
        <v>5258.4</v>
      </c>
      <c r="D105" s="15">
        <f>+GETPIVOTDATA("Undergrad Student Credit Hour FTE - New",'FTE Pivot for regular counts'!$A$2,"State","DE","Category","9","Category2","Two-Year")</f>
        <v>5958.9333333333334</v>
      </c>
      <c r="E105" s="15">
        <f>+GETPIVOTDATA("Undergrad Student Credit Hour FTE - New",'FTE Pivot for regular counts'!$A$2,"State","DE","Category","10","Category2","Two-Year")</f>
        <v>0</v>
      </c>
      <c r="F105" s="23">
        <f>+GETPIVOTDATA("Undergrad Student Credit Hour FTE - New",'FTE Pivot for regular counts'!$A$2,"State","DE","Category2","Two-Year")</f>
        <v>11217.333333333332</v>
      </c>
      <c r="G105" s="18">
        <f>+GETPIVOTDATA("Undergrad Student Credit Hour FTE - New",'FTE Pivot for regular counts'!$A$2,"State","DE","Category","12","Category2","Technical")</f>
        <v>0</v>
      </c>
      <c r="H105" s="103">
        <f>+GETPIVOTDATA("Undergrad Student Credit Hour FTE - New",'FTE Pivot for regular counts'!$A$2,"State","DE","Category","13","Category2","Technical")</f>
        <v>0</v>
      </c>
      <c r="I105" s="73">
        <f>+GETPIVOTDATA("Undergrad Student Credit Hour FTE - New",'FTE Pivot for regular counts'!$A$2,"State","DE","Category2","Technical")</f>
        <v>0</v>
      </c>
      <c r="K105" s="73"/>
      <c r="L105" s="73"/>
      <c r="Q105" s="1" t="s">
        <v>118</v>
      </c>
      <c r="R105" s="15">
        <f>+GETPIVOTDATA("Undergrad Student Credit Hour  FTE - Old",'FTE Pivot for regular counts'!$A$2,"State","DE","Category","7","Category2","Two-Year")</f>
        <v>0</v>
      </c>
      <c r="S105" s="15">
        <f>+GETPIVOTDATA("Undergrad Student Credit Hour  FTE - Old",'FTE Pivot for regular counts'!$A$2,"State","DE","Category","8","Category2","Two-Year")</f>
        <v>5423</v>
      </c>
      <c r="T105" s="15">
        <f>+GETPIVOTDATA("Undergrad Student Credit Hour  FTE - Old",'FTE Pivot for regular counts'!$A$2,"State","DE","Category","9","Category2","Two-Year")</f>
        <v>6026.9666666666672</v>
      </c>
      <c r="U105" s="15">
        <f>+GETPIVOTDATA("Undergrad Student Credit Hour  FTE - Old",'FTE Pivot for regular counts'!$A$2,"State","DE","Category","10","Category2","Two-Year")</f>
        <v>0</v>
      </c>
      <c r="V105" s="23">
        <f>+GETPIVOTDATA("Undergrad Student Credit Hour  FTE - Old",'FTE Pivot for regular counts'!$A$2,"State","DE","Category2","Two-Year")</f>
        <v>11449.966666666667</v>
      </c>
      <c r="W105" s="18">
        <f>+GETPIVOTDATA("Undergrad Student Credit Hour  FTE - Old",'FTE Pivot for regular counts'!$A$2,"State","DE","Category","12","Category2","Technical")</f>
        <v>0</v>
      </c>
      <c r="X105" s="15">
        <f>+GETPIVOTDATA("Undergrad Student Credit Hour  FTE - Old",'FTE Pivot for regular counts'!$A$2,"State","DE","Category","13","Category2","Technical")</f>
        <v>0</v>
      </c>
      <c r="Y105" s="25">
        <f>+GETPIVOTDATA("Undergrad Student Credit Hour  FTE - Old",'FTE Pivot for regular counts'!$A$2,"State","DE","Category2","Technical")</f>
        <v>0</v>
      </c>
      <c r="Z105" s="25"/>
    </row>
    <row r="106" spans="1:26" ht="15" customHeight="1">
      <c r="A106" s="1" t="s">
        <v>82</v>
      </c>
      <c r="B106" s="15">
        <f>+GETPIVOTDATA("Undergrad Student Credit Hour FTE - New",'FTE Pivot for regular counts'!$A$2,"State","FL","Category","7","Category2","Two-Year")</f>
        <v>143650.26666666666</v>
      </c>
      <c r="C106" s="15">
        <f>+GETPIVOTDATA("Undergrad Student Credit Hour FTE - New",'FTE Pivot for regular counts'!$A$2,"State","FL","Category","8","Category2","Two-Year")</f>
        <v>190091.36666666667</v>
      </c>
      <c r="D106" s="15">
        <f>+GETPIVOTDATA("Undergrad Student Credit Hour FTE - New",'FTE Pivot for regular counts'!$A$2,"State","FL","Category","9","Category2","Two-Year")</f>
        <v>16191.333333333332</v>
      </c>
      <c r="E106" s="15">
        <f>+GETPIVOTDATA("Undergrad Student Credit Hour FTE - New",'FTE Pivot for regular counts'!$A$2,"State","FL","Category","10","Category2","Two-Year")</f>
        <v>1795.1333333333332</v>
      </c>
      <c r="F106" s="23">
        <f>+GETPIVOTDATA("Undergrad Student Credit Hour FTE - New",'FTE Pivot for regular counts'!$A$2,"State","FL","Category2","Two-Year")</f>
        <v>351728.1</v>
      </c>
      <c r="G106" s="18">
        <f>+GETPIVOTDATA("Undergrad Student Credit Hour FTE - New",'FTE Pivot for regular counts'!$A$2,"State","FL","Category","12","Category2","Technical")</f>
        <v>0</v>
      </c>
      <c r="H106" s="103">
        <f>+GETPIVOTDATA("Undergrad Student Credit Hour FTE - New",'FTE Pivot for regular counts'!$A$2,"State","FL","Category","13","Category2","Technical")</f>
        <v>0</v>
      </c>
      <c r="I106" s="73">
        <f>+GETPIVOTDATA("Undergrad Student Credit Hour FTE - New",'FTE Pivot for regular counts'!$A$2,"State","FL","Category2","Technical")</f>
        <v>0</v>
      </c>
      <c r="K106" s="73"/>
      <c r="L106" s="73"/>
      <c r="Q106" s="1" t="s">
        <v>82</v>
      </c>
      <c r="R106" s="15">
        <f>GETPIVOTDATA("Undergrad Student Credit Hour  FTE - Old",'FTE Pivot for regular counts'!$A$2,"State","FL","Category","7","Category2","Two-Year")</f>
        <v>140113.29999999999</v>
      </c>
      <c r="S106" s="15">
        <f>GETPIVOTDATA("Undergrad Student Credit Hour  FTE - Old",'FTE Pivot for regular counts'!$A$2,"State","FL","Category","8","Category2","Two-Year")</f>
        <v>184099.1</v>
      </c>
      <c r="T106" s="15">
        <f>GETPIVOTDATA("Undergrad Student Credit Hour  FTE - Old",'FTE Pivot for regular counts'!$A$2,"State","FL","Category","9","Category2","Two-Year")</f>
        <v>16144.333333333332</v>
      </c>
      <c r="U106" s="15">
        <f>GETPIVOTDATA("Undergrad Student Credit Hour  FTE - Old",'FTE Pivot for regular counts'!$A$2,"State","FL","Category","10","Category2","Two-Year")</f>
        <v>1861.1666666666665</v>
      </c>
      <c r="V106" s="23">
        <f>GETPIVOTDATA("Undergrad Student Credit Hour  FTE - Old",'FTE Pivot for regular counts'!$A$2,"State","FL","Category2","Two-Year")</f>
        <v>342217.9</v>
      </c>
      <c r="W106" s="18">
        <f>GETPIVOTDATA("Undergrad Student Credit Hour  FTE - Old",'FTE Pivot for regular counts'!$A$2,"State","FL","Category","12","Category2","Technical")</f>
        <v>0</v>
      </c>
      <c r="X106" s="15">
        <f>GETPIVOTDATA("Undergrad Student Credit Hour  FTE - Old",'FTE Pivot for regular counts'!$A$2,"State","FL","Category","13","Category2","Technical")</f>
        <v>0</v>
      </c>
      <c r="Y106" s="25">
        <f>GETPIVOTDATA("Undergrad Student Credit Hour  FTE - Old",'FTE Pivot for regular counts'!$A$2,"State","FL","Category2","Technical")</f>
        <v>0</v>
      </c>
      <c r="Z106" s="25"/>
    </row>
    <row r="107" spans="1:26" ht="15" customHeight="1">
      <c r="B107" s="15"/>
      <c r="C107" s="15"/>
      <c r="D107" s="15"/>
      <c r="E107" s="15"/>
      <c r="F107" s="23"/>
      <c r="G107" s="18"/>
      <c r="H107" s="103"/>
      <c r="I107" s="73"/>
      <c r="K107" s="73"/>
      <c r="L107" s="73"/>
      <c r="R107" s="15"/>
      <c r="S107" s="15"/>
      <c r="T107" s="15"/>
      <c r="U107" s="15"/>
      <c r="V107" s="23"/>
      <c r="W107" s="18"/>
      <c r="X107" s="15"/>
      <c r="Y107" s="25"/>
      <c r="Z107" s="25"/>
    </row>
    <row r="108" spans="1:26" ht="15" customHeight="1">
      <c r="A108" s="1" t="s">
        <v>83</v>
      </c>
      <c r="B108" s="15">
        <f>+GETPIVOTDATA("Undergrad Student Credit Hour FTE - New",'FTE Pivot for regular counts'!$A$2,"State","GA","Category","7","Category2","Two-Year")</f>
        <v>15149.266666666666</v>
      </c>
      <c r="C108" s="15">
        <f>+GETPIVOTDATA("Undergrad Student Credit Hour FTE - New",'FTE Pivot for regular counts'!$A$2,"State","GA","Category","8","Category2","Two-Year")</f>
        <v>20341.233333333334</v>
      </c>
      <c r="D108" s="15">
        <f>+GETPIVOTDATA("Undergrad Student Credit Hour FTE - New",'FTE Pivot for regular counts'!$A$2,"State","GA","Category","9","Category2","Two-Year")</f>
        <v>26135.266666666663</v>
      </c>
      <c r="E108" s="15">
        <f>+GETPIVOTDATA("Undergrad Student Credit Hour FTE - New",'FTE Pivot for regular counts'!$A$2,"State","GA","Category","10","Category2","Two-Year")</f>
        <v>2721.1666666666665</v>
      </c>
      <c r="F108" s="23">
        <f>+GETPIVOTDATA("Undergrad Student Credit Hour FTE - New",'FTE Pivot for regular counts'!$A$2,"State","GA","Category2","Two-Year")</f>
        <v>64346.933333333327</v>
      </c>
      <c r="G108" s="18">
        <f>+GETPIVOTDATA("Undergrad Student Credit Hour FTE - New",'FTE Pivot for regular counts'!$A$2,"State","GA","Category","12","Category2","Technical")</f>
        <v>96674.833333333328</v>
      </c>
      <c r="H108" s="103">
        <f>+GETPIVOTDATA("Undergrad Student Credit Hour FTE - New",'FTE Pivot for regular counts'!$A$2,"State","GA","Category","13","Category2","Technical")</f>
        <v>0</v>
      </c>
      <c r="I108" s="73">
        <f>+GETPIVOTDATA("Undergrad Student Credit Hour FTE - New",'FTE Pivot for regular counts'!$A$2,"State","GA","Category2","Technical")</f>
        <v>96674.833333333328</v>
      </c>
      <c r="K108" s="73"/>
      <c r="L108" s="73"/>
      <c r="Q108" s="1" t="s">
        <v>83</v>
      </c>
      <c r="R108" s="15">
        <f>+GETPIVOTDATA("Undergrad Student Credit Hour  FTE - Old",'FTE Pivot for regular counts'!$A$2,"State","GA","Category","7","Category2","Two-Year")</f>
        <v>15733.666666666668</v>
      </c>
      <c r="S108" s="15">
        <f>+GETPIVOTDATA("Undergrad Student Credit Hour  FTE - Old",'FTE Pivot for regular counts'!$A$2,"State","GA","Category","8","Category2","Two-Year")</f>
        <v>19360.133333333335</v>
      </c>
      <c r="T108" s="15">
        <f>+GETPIVOTDATA("Undergrad Student Credit Hour  FTE - Old",'FTE Pivot for regular counts'!$A$2,"State","GA","Category","9","Category2","Two-Year")</f>
        <v>25993.766666666666</v>
      </c>
      <c r="U108" s="15">
        <f>+GETPIVOTDATA("Undergrad Student Credit Hour  FTE - Old",'FTE Pivot for regular counts'!$A$2,"State","GA","Category","10","Category2","Two-Year")</f>
        <v>2799.1</v>
      </c>
      <c r="V108" s="23">
        <f>+GETPIVOTDATA("Undergrad Student Credit Hour  FTE - Old",'FTE Pivot for regular counts'!$A$2,"State","GA","Category2","Two-Year")</f>
        <v>63886.666666666664</v>
      </c>
      <c r="W108" s="18">
        <f>+GETPIVOTDATA("Undergrad Student Credit Hour  FTE - Old",'FTE Pivot for regular counts'!$A$2,"State","GA","Category","12","Category2","Technical")</f>
        <v>103051.67899299996</v>
      </c>
      <c r="X108" s="15">
        <f>+GETPIVOTDATA("Undergrad Student Credit Hour  FTE - Old",'FTE Pivot for regular counts'!$A$2,"State","GA","Category","13","Category2","Technical")</f>
        <v>0</v>
      </c>
      <c r="Y108" s="25">
        <f>+GETPIVOTDATA("Undergrad Student Credit Hour  FTE - Old",'FTE Pivot for regular counts'!$A$2,"State","GA","Category2","Technical")</f>
        <v>103051.67899299996</v>
      </c>
      <c r="Z108" s="25"/>
    </row>
    <row r="109" spans="1:26" ht="15" customHeight="1">
      <c r="A109" s="1" t="s">
        <v>84</v>
      </c>
      <c r="B109" s="15">
        <f>+GETPIVOTDATA("Undergrad Student Credit Hour FTE - New",'FTE Pivot for regular counts'!$A$2,"State","KY","Category","7","Category2","Two-Year")</f>
        <v>0</v>
      </c>
      <c r="C109" s="15">
        <f>+GETPIVOTDATA("Undergrad Student Credit Hour FTE - New",'FTE Pivot for regular counts'!$A$2,"State","KY","Category","8","Category2","Two-Year")</f>
        <v>18423.433333333334</v>
      </c>
      <c r="D109" s="15">
        <f>+GETPIVOTDATA("Undergrad Student Credit Hour FTE - New",'FTE Pivot for regular counts'!$A$2,"State","KY","Category","9","Category2","Two-Year")</f>
        <v>33930.333333333328</v>
      </c>
      <c r="E109" s="15">
        <f>+GETPIVOTDATA("Undergrad Student Credit Hour FTE - New",'FTE Pivot for regular counts'!$A$2,"State","KY","Category","10","Category2","Two-Year")</f>
        <v>3719.9333333333334</v>
      </c>
      <c r="F109" s="23">
        <f>+GETPIVOTDATA("Undergrad Student Credit Hour FTE - New",'FTE Pivot for regular counts'!$A$2,"State","KY","Category2","Two-Year")</f>
        <v>56073.7</v>
      </c>
      <c r="G109" s="18">
        <f>+GETPIVOTDATA("Undergrad Student Credit Hour FTE - New",'FTE Pivot for regular counts'!$A$2,"State","KY","Category","12","Category2","Technical")</f>
        <v>4817.2</v>
      </c>
      <c r="H109" s="103">
        <f>+GETPIVOTDATA("Undergrad Student Credit Hour FTE - New",'FTE Pivot for regular counts'!$A$2,"State","KY","Category","13","Category2","Technical")</f>
        <v>0</v>
      </c>
      <c r="I109" s="73">
        <f>+GETPIVOTDATA("Undergrad Student Credit Hour FTE - New",'FTE Pivot for regular counts'!$A$2,"State","KY","Category2","Technical")</f>
        <v>4817.2</v>
      </c>
      <c r="K109" s="73"/>
      <c r="L109" s="73"/>
      <c r="Q109" s="1" t="s">
        <v>84</v>
      </c>
      <c r="R109" s="15">
        <f>+GETPIVOTDATA("Undergrad Student Credit Hour  FTE - Old",'FTE Pivot for regular counts'!$A$2,"State","KY","Category","7","Category2","Two-Year")</f>
        <v>0</v>
      </c>
      <c r="S109" s="15">
        <f>+GETPIVOTDATA("Undergrad Student Credit Hour  FTE - Old",'FTE Pivot for regular counts'!$A$2,"State","KY","Category","8","Category2","Two-Year")</f>
        <v>18440.776666666665</v>
      </c>
      <c r="T109" s="15">
        <f>+GETPIVOTDATA("Undergrad Student Credit Hour  FTE - Old",'FTE Pivot for regular counts'!$A$2,"State","KY","Category","9","Category2","Two-Year")</f>
        <v>33774.286666666667</v>
      </c>
      <c r="U109" s="15">
        <f>+GETPIVOTDATA("Undergrad Student Credit Hour  FTE - Old",'FTE Pivot for regular counts'!$A$2,"State","KY","Category","10","Category2","Two-Year")</f>
        <v>3829.0666666666666</v>
      </c>
      <c r="V109" s="23">
        <f>+GETPIVOTDATA("Undergrad Student Credit Hour  FTE - Old",'FTE Pivot for regular counts'!$A$2,"State","KY","Category2","Two-Year")</f>
        <v>56044.13</v>
      </c>
      <c r="W109" s="18">
        <f>+GETPIVOTDATA("Undergrad Student Credit Hour  FTE - Old",'FTE Pivot for regular counts'!$A$2,"State","KY","Category","12","Category2","Technical")</f>
        <v>4584.5</v>
      </c>
      <c r="X109" s="15">
        <f>+GETPIVOTDATA("Undergrad Student Credit Hour  FTE - Old",'FTE Pivot for regular counts'!$A$2,"State","KY","Category","13","Category2","Technical")</f>
        <v>0</v>
      </c>
      <c r="Y109" s="25">
        <f>+GETPIVOTDATA("Undergrad Student Credit Hour  FTE - Old",'FTE Pivot for regular counts'!$A$2,"State","KY","Category2","Technical")</f>
        <v>4584.5</v>
      </c>
      <c r="Z109" s="25"/>
    </row>
    <row r="110" spans="1:26" ht="15" customHeight="1">
      <c r="A110" s="1" t="s">
        <v>85</v>
      </c>
      <c r="B110" s="15">
        <f>+GETPIVOTDATA("Undergrad Student Credit Hour FTE - New",'FTE Pivot for regular counts'!$A$2,"State","LA","Category","7","Category2","Two-Year")</f>
        <v>0</v>
      </c>
      <c r="C110" s="15">
        <f>+GETPIVOTDATA("Undergrad Student Credit Hour FTE - New",'FTE Pivot for regular counts'!$A$2,"State","LA","Category","8","Category2","Two-Year")</f>
        <v>19982.733333333334</v>
      </c>
      <c r="D110" s="15">
        <f>+GETPIVOTDATA("Undergrad Student Credit Hour FTE - New",'FTE Pivot for regular counts'!$A$2,"State","LA","Category","9","Category2","Two-Year")</f>
        <v>10089.266666666666</v>
      </c>
      <c r="E110" s="15">
        <f>+GETPIVOTDATA("Undergrad Student Credit Hour FTE - New",'FTE Pivot for regular counts'!$A$2,"State","LA","Category","10","Category2","Two-Year")</f>
        <v>7497.0333333333328</v>
      </c>
      <c r="F110" s="23">
        <f>+GETPIVOTDATA("Undergrad Student Credit Hour FTE - New",'FTE Pivot for regular counts'!$A$2,"State","LA","Category2","Two-Year")</f>
        <v>37569.033333333333</v>
      </c>
      <c r="G110" s="18">
        <f>+GETPIVOTDATA("Undergrad Student Credit Hour FTE - New",'FTE Pivot for regular counts'!$A$2,"State","LA","Category","12","Category2","Technical")</f>
        <v>18658.816666666669</v>
      </c>
      <c r="H110" s="103">
        <f>+GETPIVOTDATA("Undergrad Student Credit Hour FTE - New",'FTE Pivot for regular counts'!$A$2,"State","LA","Category","13","Category2","Technical")</f>
        <v>0</v>
      </c>
      <c r="I110" s="73">
        <f>+GETPIVOTDATA("Undergrad Student Credit Hour FTE - New",'FTE Pivot for regular counts'!$A$2,"State","LA","Category2","Technical")</f>
        <v>18658.816666666669</v>
      </c>
      <c r="K110" s="73"/>
      <c r="L110" s="73"/>
      <c r="Q110" s="1" t="s">
        <v>85</v>
      </c>
      <c r="R110" s="15">
        <f>+GETPIVOTDATA("Undergrad Student Credit Hour  FTE - Old",'FTE Pivot for regular counts'!$A$2,"State","LA","Category","7","Category2","Two-Year")</f>
        <v>0</v>
      </c>
      <c r="S110" s="15">
        <f>+GETPIVOTDATA("Undergrad Student Credit Hour  FTE - Old",'FTE Pivot for regular counts'!$A$2,"State","LA","Category","8","Category2","Two-Year")</f>
        <v>19117.400000000001</v>
      </c>
      <c r="T110" s="15">
        <f>+GETPIVOTDATA("Undergrad Student Credit Hour  FTE - Old",'FTE Pivot for regular counts'!$A$2,"State","LA","Category","9","Category2","Two-Year")</f>
        <v>9538.5333333333328</v>
      </c>
      <c r="U110" s="15">
        <f>+GETPIVOTDATA("Undergrad Student Credit Hour  FTE - Old",'FTE Pivot for regular counts'!$A$2,"State","LA","Category","10","Category2","Two-Year")</f>
        <v>7670.0666666666675</v>
      </c>
      <c r="V110" s="23">
        <f>+GETPIVOTDATA("Undergrad Student Credit Hour  FTE - Old",'FTE Pivot for regular counts'!$A$2,"State","LA","Category2","Two-Year")</f>
        <v>36326</v>
      </c>
      <c r="W110" s="18">
        <f>+GETPIVOTDATA("Undergrad Student Credit Hour  FTE - Old",'FTE Pivot for regular counts'!$A$2,"State","LA","Category","12","Category2","Technical")</f>
        <v>19830.866666666669</v>
      </c>
      <c r="X110" s="15">
        <f>+GETPIVOTDATA("Undergrad Student Credit Hour  FTE - Old",'FTE Pivot for regular counts'!$A$2,"State","LA","Category","13","Category2","Technical")</f>
        <v>0</v>
      </c>
      <c r="Y110" s="25">
        <f>+GETPIVOTDATA("Undergrad Student Credit Hour  FTE - Old",'FTE Pivot for regular counts'!$A$2,"State","LA","Category2","Technical")</f>
        <v>19830.866666666669</v>
      </c>
      <c r="Z110" s="25"/>
    </row>
    <row r="111" spans="1:26" ht="15" customHeight="1">
      <c r="A111" s="1" t="s">
        <v>86</v>
      </c>
      <c r="B111" s="15">
        <f>+GETPIVOTDATA("Undergrad Student Credit Hour FTE - New",'FTE Pivot for regular counts'!$A$2,"State","MD","Category","7","Category2","Two-Year")</f>
        <v>0</v>
      </c>
      <c r="C111" s="15">
        <f>+GETPIVOTDATA("Undergrad Student Credit Hour FTE - New",'FTE Pivot for regular counts'!$A$2,"State","MD","Category","8","Category2","Two-Year")</f>
        <v>70204.950000000012</v>
      </c>
      <c r="D111" s="15">
        <f>+GETPIVOTDATA("Undergrad Student Credit Hour FTE - New",'FTE Pivot for regular counts'!$A$2,"State","MD","Category","9","Category2","Two-Year")</f>
        <v>24798.749999999996</v>
      </c>
      <c r="E111" s="15">
        <f>+GETPIVOTDATA("Undergrad Student Credit Hour FTE - New",'FTE Pivot for regular counts'!$A$2,"State","MD","Category","10","Category2","Two-Year")</f>
        <v>4195.625</v>
      </c>
      <c r="F111" s="23">
        <f>+GETPIVOTDATA("Undergrad Student Credit Hour FTE - New",'FTE Pivot for regular counts'!$A$2,"State","MD","Category2","Two-Year")</f>
        <v>99199.325000000012</v>
      </c>
      <c r="G111" s="18">
        <f>+GETPIVOTDATA("Undergrad Student Credit Hour FTE - New",'FTE Pivot for regular counts'!$A$2,"State","MD","Category","12","Category2","Technical")</f>
        <v>0</v>
      </c>
      <c r="H111" s="103">
        <f>+GETPIVOTDATA("Undergrad Student Credit Hour FTE - New",'FTE Pivot for regular counts'!$A$2,"State","MD","Category","13","Category2","Technical")</f>
        <v>0</v>
      </c>
      <c r="I111" s="73">
        <f>+GETPIVOTDATA("Undergrad Student Credit Hour FTE - New",'FTE Pivot for regular counts'!$A$2,"State","MD","Category2","Technical")</f>
        <v>0</v>
      </c>
      <c r="K111" s="73"/>
      <c r="L111" s="73"/>
      <c r="Q111" s="1" t="s">
        <v>86</v>
      </c>
      <c r="R111" s="15">
        <f>+GETPIVOTDATA("Undergrad Student Credit Hour  FTE - Old",'FTE Pivot for regular counts'!$A$2,"State","MD","Category","7","Category2","Two-Year")</f>
        <v>0</v>
      </c>
      <c r="S111" s="15">
        <f>+GETPIVOTDATA("Undergrad Student Credit Hour  FTE - Old",'FTE Pivot for regular counts'!$A$2,"State","MD","Category","8","Category2","Two-Year")</f>
        <v>69967.32666666666</v>
      </c>
      <c r="T111" s="15">
        <f>+GETPIVOTDATA("Undergrad Student Credit Hour  FTE - Old",'FTE Pivot for regular counts'!$A$2,"State","MD","Category","9","Category2","Two-Year")</f>
        <v>24506.716666666667</v>
      </c>
      <c r="U111" s="15">
        <f>+GETPIVOTDATA("Undergrad Student Credit Hour  FTE - Old",'FTE Pivot for regular counts'!$A$2,"State","MD","Category","10","Category2","Two-Year")</f>
        <v>4122.5749999999998</v>
      </c>
      <c r="V111" s="23">
        <f>+GETPIVOTDATA("Undergrad Student Credit Hour  FTE - Old",'FTE Pivot for regular counts'!$A$2,"State","MD","Category2","Two-Year")</f>
        <v>98596.618333333332</v>
      </c>
      <c r="W111" s="18">
        <f>+GETPIVOTDATA("Undergrad Student Credit Hour  FTE - Old",'FTE Pivot for regular counts'!$A$2,"State","MD","Category","12","Category2","Technical")</f>
        <v>0</v>
      </c>
      <c r="X111" s="15">
        <f>+GETPIVOTDATA("Undergrad Student Credit Hour  FTE - Old",'FTE Pivot for regular counts'!$A$2,"State","MD","Category","13","Category2","Technical")</f>
        <v>0</v>
      </c>
      <c r="Y111" s="25">
        <f>+GETPIVOTDATA("Undergrad Student Credit Hour  FTE - Old",'FTE Pivot for regular counts'!$A$2,"State","MD","Category2","Technical")</f>
        <v>0</v>
      </c>
      <c r="Z111" s="25"/>
    </row>
    <row r="112" spans="1:26" ht="15" customHeight="1">
      <c r="B112" s="15"/>
      <c r="C112" s="15"/>
      <c r="D112" s="15"/>
      <c r="E112" s="15"/>
      <c r="F112" s="23"/>
      <c r="G112" s="18"/>
      <c r="H112" s="103"/>
      <c r="I112" s="73"/>
      <c r="K112" s="73"/>
      <c r="L112" s="73"/>
      <c r="R112" s="15"/>
      <c r="S112" s="15"/>
      <c r="T112" s="15"/>
      <c r="U112" s="15"/>
      <c r="V112" s="23"/>
      <c r="W112" s="18"/>
      <c r="X112" s="15"/>
      <c r="Y112" s="25"/>
      <c r="Z112" s="25"/>
    </row>
    <row r="113" spans="1:26" ht="15" customHeight="1">
      <c r="A113" s="1" t="s">
        <v>87</v>
      </c>
      <c r="B113" s="15">
        <f>+GETPIVOTDATA("Undergrad Student Credit Hour FTE - New",'FTE Pivot for regular counts'!$A$2,"State","MS","Category","7","Category2","Two-Year")</f>
        <v>0</v>
      </c>
      <c r="C113" s="15">
        <f>+GETPIVOTDATA("Undergrad Student Credit Hour FTE - New",'FTE Pivot for regular counts'!$A$2,"State","MS","Category","8","Category2","Two-Year")</f>
        <v>33757.566666666666</v>
      </c>
      <c r="D113" s="15">
        <f>+GETPIVOTDATA("Undergrad Student Credit Hour FTE - New",'FTE Pivot for regular counts'!$A$2,"State","MS","Category","9","Category2","Two-Year")</f>
        <v>34043.916666666672</v>
      </c>
      <c r="E113" s="15">
        <f>+GETPIVOTDATA("Undergrad Student Credit Hour FTE - New",'FTE Pivot for regular counts'!$A$2,"State","MS","Category","10","Category2","Two-Year")</f>
        <v>4316.0666666666666</v>
      </c>
      <c r="F113" s="23">
        <f>+GETPIVOTDATA("Undergrad Student Credit Hour FTE - New",'FTE Pivot for regular counts'!$A$2,"State","MS","Category2","Two-Year")</f>
        <v>72117.55</v>
      </c>
      <c r="G113" s="18">
        <f>+GETPIVOTDATA("Undergrad Student Credit Hour FTE - New",'FTE Pivot for regular counts'!$A$2,"State","MS","Category","12","Category2","Technical")</f>
        <v>0</v>
      </c>
      <c r="H113" s="103">
        <f>+GETPIVOTDATA("Undergrad Student Credit Hour FTE - New",'FTE Pivot for regular counts'!$A$2,"State","MS","Category","13","Category2","Technical")</f>
        <v>0</v>
      </c>
      <c r="I113" s="73">
        <f>+GETPIVOTDATA("Undergrad Student Credit Hour FTE - New",'FTE Pivot for regular counts'!$A$2,"State","MS","Category2","Technical")</f>
        <v>0</v>
      </c>
      <c r="K113" s="73"/>
      <c r="L113" s="73"/>
      <c r="Q113" s="1" t="s">
        <v>87</v>
      </c>
      <c r="R113" s="15">
        <f>+GETPIVOTDATA("Undergrad Student Credit Hour  FTE - Old",'FTE Pivot for regular counts'!$A$2,"State","MS","Category","7","Category2","Two-Year")</f>
        <v>0</v>
      </c>
      <c r="S113" s="15">
        <f>+GETPIVOTDATA("Undergrad Student Credit Hour  FTE - Old",'FTE Pivot for regular counts'!$A$2,"State","MS","Category","8","Category2","Two-Year")</f>
        <v>34868.166666666664</v>
      </c>
      <c r="T113" s="15">
        <f>+GETPIVOTDATA("Undergrad Student Credit Hour  FTE - Old",'FTE Pivot for regular counts'!$A$2,"State","MS","Category","9","Category2","Two-Year")</f>
        <v>35043.466666666674</v>
      </c>
      <c r="U113" s="15">
        <f>+GETPIVOTDATA("Undergrad Student Credit Hour  FTE - Old",'FTE Pivot for regular counts'!$A$2,"State","MS","Category","10","Category2","Two-Year")</f>
        <v>3999.166666666667</v>
      </c>
      <c r="V113" s="23">
        <f>+GETPIVOTDATA("Undergrad Student Credit Hour  FTE - Old",'FTE Pivot for regular counts'!$A$2,"State","MS","Category2","Two-Year")</f>
        <v>73910.8</v>
      </c>
      <c r="W113" s="18">
        <f>+GETPIVOTDATA("Undergrad Student Credit Hour  FTE - Old",'FTE Pivot for regular counts'!$A$2,"State","MS","Category","12","Category2","Technical")</f>
        <v>0</v>
      </c>
      <c r="X113" s="15">
        <f>+GETPIVOTDATA("Undergrad Student Credit Hour  FTE - Old",'FTE Pivot for regular counts'!$A$2,"State","MS","Category","13","Category2","Technical")</f>
        <v>0</v>
      </c>
      <c r="Y113" s="25">
        <f>+GETPIVOTDATA("Undergrad Student Credit Hour  FTE - Old",'FTE Pivot for regular counts'!$A$2,"State","MS","Category2","Technical")</f>
        <v>0</v>
      </c>
      <c r="Z113" s="25"/>
    </row>
    <row r="114" spans="1:26" ht="15" customHeight="1">
      <c r="A114" s="1" t="s">
        <v>88</v>
      </c>
      <c r="B114" s="15">
        <f>+GETPIVOTDATA("Undergrad Student Credit Hour FTE - New",'FTE Pivot for regular counts'!$A$2,"State","NC","Category","7","Category2","Two-Year")</f>
        <v>0</v>
      </c>
      <c r="C114" s="15">
        <f>+GETPIVOTDATA("Undergrad Student Credit Hour FTE - New",'FTE Pivot for regular counts'!$A$2,"State","NC","Category","8","Category2","Two-Year")</f>
        <v>83722</v>
      </c>
      <c r="D114" s="15">
        <f>+GETPIVOTDATA("Undergrad Student Credit Hour FTE - New",'FTE Pivot for regular counts'!$A$2,"State","NC","Category","9","Category2","Two-Year")</f>
        <v>68913.233333333337</v>
      </c>
      <c r="E114" s="15">
        <f>+GETPIVOTDATA("Undergrad Student Credit Hour FTE - New",'FTE Pivot for regular counts'!$A$2,"State","NC","Category","10","Category2","Two-Year")</f>
        <v>28417.5</v>
      </c>
      <c r="F114" s="23">
        <f>+GETPIVOTDATA("Undergrad Student Credit Hour FTE - New",'FTE Pivot for regular counts'!$A$2,"State","NC","Category2","Two-Year")</f>
        <v>181052.73333333334</v>
      </c>
      <c r="G114" s="18">
        <f>+GETPIVOTDATA("Undergrad Student Credit Hour FTE - New",'FTE Pivot for regular counts'!$A$2,"State","NC","Category","12","Category2","Technical")</f>
        <v>0</v>
      </c>
      <c r="H114" s="103">
        <f>+GETPIVOTDATA("Undergrad Student Credit Hour FTE - New",'FTE Pivot for regular counts'!$A$2,"State","NC","Category","13","Category2","Technical")</f>
        <v>0</v>
      </c>
      <c r="I114" s="73">
        <f>+GETPIVOTDATA("Undergrad Student Credit Hour FTE - New",'FTE Pivot for regular counts'!$A$2,"State","NC","Category2","Technical")</f>
        <v>0</v>
      </c>
      <c r="K114" s="73"/>
      <c r="L114" s="73"/>
      <c r="Q114" s="1" t="s">
        <v>88</v>
      </c>
      <c r="R114" s="15">
        <f>+GETPIVOTDATA("Undergrad Student Credit Hour  FTE - Old",'FTE Pivot for regular counts'!$A$2,"State","NC","Category","7","Category2","Two-Year")</f>
        <v>0</v>
      </c>
      <c r="S114" s="15">
        <f>+GETPIVOTDATA("Undergrad Student Credit Hour  FTE - Old",'FTE Pivot for regular counts'!$A$2,"State","NC","Category","8","Category2","Two-Year")</f>
        <v>80872.533333333326</v>
      </c>
      <c r="T114" s="15">
        <f>+GETPIVOTDATA("Undergrad Student Credit Hour  FTE - Old",'FTE Pivot for regular counts'!$A$2,"State","NC","Category","9","Category2","Two-Year")</f>
        <v>70944.066666666666</v>
      </c>
      <c r="U114" s="15">
        <f>+GETPIVOTDATA("Undergrad Student Credit Hour  FTE - Old",'FTE Pivot for regular counts'!$A$2,"State","NC","Category","10","Category2","Two-Year")</f>
        <v>29508.333333333332</v>
      </c>
      <c r="V114" s="23">
        <f>+GETPIVOTDATA("Undergrad Student Credit Hour  FTE - Old",'FTE Pivot for regular counts'!$A$2,"State","NC","Category2","Two-Year")</f>
        <v>181324.93333333332</v>
      </c>
      <c r="W114" s="18">
        <f>+GETPIVOTDATA("Undergrad Student Credit Hour  FTE - Old",'FTE Pivot for regular counts'!$A$2,"State","NC","Category","12","Category2","Technical")</f>
        <v>0</v>
      </c>
      <c r="X114" s="15">
        <f>+GETPIVOTDATA("Undergrad Student Credit Hour  FTE - Old",'FTE Pivot for regular counts'!$A$2,"State","NC","Category","13","Category2","Technical")</f>
        <v>0</v>
      </c>
      <c r="Y114" s="25">
        <f>+GETPIVOTDATA("Undergrad Student Credit Hour  FTE - Old",'FTE Pivot for regular counts'!$A$2,"State","NC","Category2","Technical")</f>
        <v>0</v>
      </c>
      <c r="Z114" s="25"/>
    </row>
    <row r="115" spans="1:26" ht="15" customHeight="1">
      <c r="A115" s="1" t="s">
        <v>89</v>
      </c>
      <c r="B115" s="15">
        <f>+GETPIVOTDATA("Undergrad Student Credit Hour FTE - New",'FTE Pivot for regular counts'!$A$2,"State","OK","Category","7","Category2","Two-Year")</f>
        <v>8835.7333333333336</v>
      </c>
      <c r="C115" s="15">
        <f>+GETPIVOTDATA("Undergrad Student Credit Hour FTE - New",'FTE Pivot for regular counts'!$A$2,"State","OK","Category","8","Category2","Two-Year")</f>
        <v>28434.266666666663</v>
      </c>
      <c r="D115" s="15">
        <f>+GETPIVOTDATA("Undergrad Student Credit Hour FTE - New",'FTE Pivot for regular counts'!$A$2,"State","OK","Category","9","Category2","Two-Year")</f>
        <v>4011</v>
      </c>
      <c r="E115" s="15">
        <f>+GETPIVOTDATA("Undergrad Student Credit Hour FTE - New",'FTE Pivot for regular counts'!$A$2,"State","OK","Category","10","Category2","Two-Year")</f>
        <v>15021.266666666668</v>
      </c>
      <c r="F115" s="23">
        <f>+GETPIVOTDATA("Undergrad Student Credit Hour FTE - New",'FTE Pivot for regular counts'!$A$2,"State","OK","Category2","Two-Year")</f>
        <v>56302.26666666667</v>
      </c>
      <c r="G115" s="18">
        <f>+GETPIVOTDATA("Undergrad Student Credit Hour FTE - New",'FTE Pivot for regular counts'!$A$2,"State","OK","Category","12","Category2","Technical")</f>
        <v>0</v>
      </c>
      <c r="H115" s="103">
        <f>+GETPIVOTDATA("Undergrad Student Credit Hour FTE - New",'FTE Pivot for regular counts'!$A$2,"State","OK","Category","13","Category2","Technical")</f>
        <v>0</v>
      </c>
      <c r="I115" s="73">
        <f>+GETPIVOTDATA("Undergrad Student Credit Hour FTE - New",'FTE Pivot for regular counts'!$A$2,"State","OK","Category2","Technical")</f>
        <v>0</v>
      </c>
      <c r="K115" s="73"/>
      <c r="L115" s="73"/>
      <c r="Q115" s="1" t="s">
        <v>89</v>
      </c>
      <c r="R115" s="15">
        <f>+GETPIVOTDATA("Undergrad Student Credit Hour  FTE - Old",'FTE Pivot for regular counts'!$A$2,"State","OK","Category","7","Category2","Two-Year")</f>
        <v>8546.2000000000007</v>
      </c>
      <c r="S115" s="15">
        <f>+GETPIVOTDATA("Undergrad Student Credit Hour  FTE - Old",'FTE Pivot for regular counts'!$A$2,"State","OK","Category","8","Category2","Two-Year")</f>
        <v>28868.533333333333</v>
      </c>
      <c r="T115" s="15">
        <f>+GETPIVOTDATA("Undergrad Student Credit Hour  FTE - Old",'FTE Pivot for regular counts'!$A$2,"State","OK","Category","9","Category2","Two-Year")</f>
        <v>3750.1333333333332</v>
      </c>
      <c r="U115" s="15">
        <f>+GETPIVOTDATA("Undergrad Student Credit Hour  FTE - Old",'FTE Pivot for regular counts'!$A$2,"State","OK","Category","10","Category2","Two-Year")</f>
        <v>14858</v>
      </c>
      <c r="V115" s="23">
        <f>+GETPIVOTDATA("Undergrad Student Credit Hour  FTE - Old",'FTE Pivot for regular counts'!$A$2,"State","OK","Category2","Two-Year")</f>
        <v>56022.866666666669</v>
      </c>
      <c r="W115" s="18">
        <f>+GETPIVOTDATA("Undergrad Student Credit Hour  FTE - Old",'FTE Pivot for regular counts'!$A$2,"State","OK","Category","12","Category2","Technical")</f>
        <v>0</v>
      </c>
      <c r="X115" s="15">
        <f>+GETPIVOTDATA("Undergrad Student Credit Hour  FTE - Old",'FTE Pivot for regular counts'!$A$2,"State","OK","Category","13","Category2","Technical")</f>
        <v>0</v>
      </c>
      <c r="Y115" s="25">
        <f>+GETPIVOTDATA("Undergrad Student Credit Hour  FTE - Old",'FTE Pivot for regular counts'!$A$2,"State","OK","Category2","Technical")</f>
        <v>0</v>
      </c>
      <c r="Z115" s="25"/>
    </row>
    <row r="116" spans="1:26" ht="15" customHeight="1">
      <c r="A116" s="1" t="s">
        <v>90</v>
      </c>
      <c r="B116" s="15">
        <f>+GETPIVOTDATA("Undergrad Student Credit Hour FTE - New",'FTE Pivot for regular counts'!$A$2,"State","SC","Category","7","Category2","Two-Year")</f>
        <v>0</v>
      </c>
      <c r="C116" s="15">
        <f>+GETPIVOTDATA("Undergrad Student Credit Hour FTE - New",'FTE Pivot for regular counts'!$A$2,"State","SC","Category","8","Category2","Two-Year")</f>
        <v>47289.093000000001</v>
      </c>
      <c r="D116" s="15">
        <f>+GETPIVOTDATA("Undergrad Student Credit Hour FTE - New",'FTE Pivot for regular counts'!$A$2,"State","SC","Category","9","Category2","Two-Year")</f>
        <v>28035.330666666672</v>
      </c>
      <c r="E116" s="15">
        <f>+GETPIVOTDATA("Undergrad Student Credit Hour FTE - New",'FTE Pivot for regular counts'!$A$2,"State","SC","Category","10","Category2","Two-Year")</f>
        <v>8309.9860000000008</v>
      </c>
      <c r="F116" s="23">
        <f>+GETPIVOTDATA("Undergrad Student Credit Hour FTE - New",'FTE Pivot for regular counts'!$A$2,"State","SC","Category2","Two-Year")</f>
        <v>83634.409666666674</v>
      </c>
      <c r="G116" s="18">
        <f>+GETPIVOTDATA("Undergrad Student Credit Hour FTE - New",'FTE Pivot for regular counts'!$A$2,"State","SC","Category","12","Category2","Technical")</f>
        <v>0</v>
      </c>
      <c r="H116" s="103">
        <f>+GETPIVOTDATA("Undergrad Student Credit Hour FTE - New",'FTE Pivot for regular counts'!$A$2,"State","SC","Category","13","Category2","Technical")</f>
        <v>0</v>
      </c>
      <c r="I116" s="73">
        <f>+GETPIVOTDATA("Undergrad Student Credit Hour FTE - New",'FTE Pivot for regular counts'!$A$2,"State","SC","Category2","Technical")</f>
        <v>0</v>
      </c>
      <c r="K116" s="73"/>
      <c r="L116" s="73"/>
      <c r="Q116" s="1" t="s">
        <v>90</v>
      </c>
      <c r="R116" s="15">
        <f>+GETPIVOTDATA("Undergrad Student Credit Hour  FTE - Old",'FTE Pivot for regular counts'!$A$2,"State","SC","Category","7","Category2","Two-Year")</f>
        <v>0</v>
      </c>
      <c r="S116" s="15">
        <f>+GETPIVOTDATA("Undergrad Student Credit Hour  FTE - Old",'FTE Pivot for regular counts'!$A$2,"State","SC","Category","8","Category2","Two-Year")</f>
        <v>47656.1</v>
      </c>
      <c r="T116" s="15">
        <f>+GETPIVOTDATA("Undergrad Student Credit Hour  FTE - Old",'FTE Pivot for regular counts'!$A$2,"State","SC","Category","9","Category2","Two-Year")</f>
        <v>29146.000000000004</v>
      </c>
      <c r="U116" s="15">
        <f>+GETPIVOTDATA("Undergrad Student Credit Hour  FTE - Old",'FTE Pivot for regular counts'!$A$2,"State","SC","Category","10","Category2","Two-Year")</f>
        <v>8331.5333333333347</v>
      </c>
      <c r="V116" s="23">
        <f>+GETPIVOTDATA("Undergrad Student Credit Hour  FTE - Old",'FTE Pivot for regular counts'!$A$2,"State","SC","Category2","Two-Year")</f>
        <v>85133.633333333346</v>
      </c>
      <c r="W116" s="18">
        <f>+GETPIVOTDATA("Undergrad Student Credit Hour  FTE - Old",'FTE Pivot for regular counts'!$A$2,"State","SC","Category","12","Category2","Technical")</f>
        <v>0</v>
      </c>
      <c r="X116" s="15">
        <f>+GETPIVOTDATA("Undergrad Student Credit Hour  FTE - Old",'FTE Pivot for regular counts'!$A$2,"State","SC","Category","13","Category2","Technical")</f>
        <v>0</v>
      </c>
      <c r="Y116" s="25">
        <f>+GETPIVOTDATA("Undergrad Student Credit Hour  FTE - Old",'FTE Pivot for regular counts'!$A$2,"State","SC","Category2","Technical")</f>
        <v>0</v>
      </c>
      <c r="Z116" s="25"/>
    </row>
    <row r="117" spans="1:26" ht="15" customHeight="1">
      <c r="B117" s="15"/>
      <c r="C117" s="15"/>
      <c r="D117" s="15"/>
      <c r="E117" s="15"/>
      <c r="F117" s="23"/>
      <c r="G117" s="18"/>
      <c r="H117" s="103"/>
      <c r="I117" s="73"/>
      <c r="K117" s="73"/>
      <c r="L117" s="73"/>
      <c r="R117" s="15"/>
      <c r="S117" s="15"/>
      <c r="T117" s="15"/>
      <c r="U117" s="15"/>
      <c r="V117" s="23"/>
      <c r="W117" s="18"/>
      <c r="X117" s="15"/>
      <c r="Y117" s="25"/>
      <c r="Z117" s="25"/>
    </row>
    <row r="118" spans="1:26" ht="15" customHeight="1">
      <c r="A118" s="1" t="s">
        <v>91</v>
      </c>
      <c r="B118" s="15">
        <f>+GETPIVOTDATA("Undergrad Student Credit Hour FTE - New",'FTE Pivot for regular counts'!$A$2,"State","TN","Category","7","Category2","Two-Year")</f>
        <v>0</v>
      </c>
      <c r="C118" s="15">
        <f>+GETPIVOTDATA("Undergrad Student Credit Hour FTE - New",'FTE Pivot for regular counts'!$A$2,"State","TN","Category","8","Category2","Two-Year")</f>
        <v>37019.933333333334</v>
      </c>
      <c r="D118" s="15">
        <f>+GETPIVOTDATA("Undergrad Student Credit Hour FTE - New",'FTE Pivot for regular counts'!$A$2,"State","TN","Category","9","Category2","Two-Year")</f>
        <v>29790.466666666667</v>
      </c>
      <c r="E118" s="15">
        <f>+GETPIVOTDATA("Undergrad Student Credit Hour FTE - New",'FTE Pivot for regular counts'!$A$2,"State","TN","Category","10","Category2","Two-Year")</f>
        <v>0</v>
      </c>
      <c r="F118" s="23">
        <f>+GETPIVOTDATA("Undergrad Student Credit Hour FTE - New",'FTE Pivot for regular counts'!$A$2,"State","TN","Category2","Two-Year")</f>
        <v>66810.399999999994</v>
      </c>
      <c r="G118" s="18">
        <f>+GETPIVOTDATA("Undergrad Student Credit Hour FTE - New",'FTE Pivot for regular counts'!$A$2,"State","TN","Category","12","Category2","Technical")</f>
        <v>0</v>
      </c>
      <c r="H118" s="103">
        <f>+GETPIVOTDATA("Undergrad Student Credit Hour FTE - New",'FTE Pivot for regular counts'!$A$2,"State","TN","Category","13","Category2","Technical")</f>
        <v>0</v>
      </c>
      <c r="I118" s="73">
        <f>+GETPIVOTDATA("Undergrad Student Credit Hour FTE - New",'FTE Pivot for regular counts'!$A$2,"State","TN","Category2","Technical")</f>
        <v>0</v>
      </c>
      <c r="K118" s="73"/>
      <c r="L118" s="73"/>
      <c r="Q118" s="1" t="s">
        <v>91</v>
      </c>
      <c r="R118" s="15">
        <f>+GETPIVOTDATA("Undergrad Student Credit Hour  FTE - Old",'FTE Pivot for regular counts'!$A$2,"State","TN","Category","7","Category2","Two-Year")</f>
        <v>0</v>
      </c>
      <c r="S118" s="15">
        <f>+GETPIVOTDATA("Undergrad Student Credit Hour  FTE - Old",'FTE Pivot for regular counts'!$A$2,"State","TN","Category","8","Category2","Two-Year")</f>
        <v>36542.833333333336</v>
      </c>
      <c r="T118" s="15">
        <f>+GETPIVOTDATA("Undergrad Student Credit Hour  FTE - Old",'FTE Pivot for regular counts'!$A$2,"State","TN","Category","9","Category2","Two-Year")</f>
        <v>30379.800000000003</v>
      </c>
      <c r="U118" s="15">
        <f>+GETPIVOTDATA("Undergrad Student Credit Hour  FTE - Old",'FTE Pivot for regular counts'!$A$2,"State","TN","Category","10","Category2","Two-Year")</f>
        <v>0</v>
      </c>
      <c r="V118" s="23">
        <f>+GETPIVOTDATA("Undergrad Student Credit Hour  FTE - Old",'FTE Pivot for regular counts'!$A$2,"State","TN","Category2","Two-Year")</f>
        <v>66922.633333333331</v>
      </c>
      <c r="W118" s="18">
        <f>+GETPIVOTDATA("Undergrad Student Credit Hour  FTE - Old",'FTE Pivot for regular counts'!$A$2,"State","TN","Category","12","Category2","Technical")</f>
        <v>0</v>
      </c>
      <c r="X118" s="15">
        <f>+GETPIVOTDATA("Undergrad Student Credit Hour  FTE - Old",'FTE Pivot for regular counts'!$A$2,"State","TN","Category","13","Category2","Technical")</f>
        <v>0</v>
      </c>
      <c r="Y118" s="25">
        <f>+GETPIVOTDATA("Undergrad Student Credit Hour  FTE - Old",'FTE Pivot for regular counts'!$A$2,"State","TN","Category2","Technical")</f>
        <v>0</v>
      </c>
      <c r="Z118" s="25"/>
    </row>
    <row r="119" spans="1:26" ht="15" customHeight="1">
      <c r="A119" s="1" t="s">
        <v>92</v>
      </c>
      <c r="B119" s="15">
        <f>+GETPIVOTDATA("Undergrad Student Credit Hour FTE - New",'FTE Pivot for regular counts'!$A$2,"State","TX","Category","7","Category2","Two-Year")</f>
        <v>25594.699999999997</v>
      </c>
      <c r="C119" s="15">
        <f>+GETPIVOTDATA("Undergrad Student Credit Hour FTE - New",'FTE Pivot for regular counts'!$A$2,"State","TX","Category","8","Category2","Two-Year")</f>
        <v>378903.30000000005</v>
      </c>
      <c r="D119" s="15">
        <f>+GETPIVOTDATA("Undergrad Student Credit Hour FTE - New",'FTE Pivot for regular counts'!$A$2,"State","TX","Category","9","Category2","Two-Year")</f>
        <v>80430.799999999988</v>
      </c>
      <c r="E119" s="15">
        <f>+GETPIVOTDATA("Undergrad Student Credit Hour FTE - New",'FTE Pivot for regular counts'!$A$2,"State","TX","Category","10","Category2","Two-Year")</f>
        <v>13868.266666666668</v>
      </c>
      <c r="F119" s="23">
        <f>+GETPIVOTDATA("Undergrad Student Credit Hour FTE - New",'FTE Pivot for regular counts'!$A$2,"State","TX","Category2","Two-Year")</f>
        <v>498797.06666666671</v>
      </c>
      <c r="G119" s="18">
        <f>+GETPIVOTDATA("Undergrad Student Credit Hour FTE - New",'FTE Pivot for regular counts'!$A$2,"State","TX","Category","12","Category2","Technical")</f>
        <v>0</v>
      </c>
      <c r="H119" s="103">
        <f>+GETPIVOTDATA("Undergrad Student Credit Hour FTE - New",'FTE Pivot for regular counts'!$A$2,"State","TX","Category","13","Category2","Technical")</f>
        <v>0</v>
      </c>
      <c r="I119" s="73">
        <f>+GETPIVOTDATA("Undergrad Student Credit Hour FTE - New",'FTE Pivot for regular counts'!$A$2,"State","TX","Category2","Technical")</f>
        <v>0</v>
      </c>
      <c r="K119" s="73"/>
      <c r="L119" s="73"/>
      <c r="Q119" s="1" t="s">
        <v>92</v>
      </c>
      <c r="R119" s="15">
        <f>+GETPIVOTDATA("Undergrad Student Credit Hour  FTE - Old",'FTE Pivot for regular counts'!$A$2,"State","TX","Category","7","Category2","Two-Year")</f>
        <v>24936.866666666665</v>
      </c>
      <c r="S119" s="15">
        <f>+GETPIVOTDATA("Undergrad Student Credit Hour  FTE - Old",'FTE Pivot for regular counts'!$A$2,"State","TX","Category","8","Category2","Two-Year")</f>
        <v>372371.03333333344</v>
      </c>
      <c r="T119" s="15">
        <f>+GETPIVOTDATA("Undergrad Student Credit Hour  FTE - Old",'FTE Pivot for regular counts'!$A$2,"State","TX","Category","9","Category2","Two-Year")</f>
        <v>81383.166666666672</v>
      </c>
      <c r="U119" s="15">
        <f>+GETPIVOTDATA("Undergrad Student Credit Hour  FTE - Old",'FTE Pivot for regular counts'!$A$2,"State","TX","Category","10","Category2","Two-Year")</f>
        <v>13711.800000000001</v>
      </c>
      <c r="V119" s="23">
        <f>+GETPIVOTDATA("Undergrad Student Credit Hour  FTE - Old",'FTE Pivot for regular counts'!$A$2,"State","TX","Category2","Two-Year")</f>
        <v>492402.86666666676</v>
      </c>
      <c r="W119" s="18">
        <f>+GETPIVOTDATA("Undergrad Student Credit Hour  FTE - Old",'FTE Pivot for regular counts'!$A$2,"State","TX","Category","12","Category2","Technical")</f>
        <v>0</v>
      </c>
      <c r="X119" s="15">
        <f>+GETPIVOTDATA("Undergrad Student Credit Hour  FTE - Old",'FTE Pivot for regular counts'!$A$2,"State","TX","Category","13","Category2","Technical")</f>
        <v>0</v>
      </c>
      <c r="Y119" s="25">
        <f>+GETPIVOTDATA("Undergrad Student Credit Hour  FTE - Old",'FTE Pivot for regular counts'!$A$2,"State","TX","Category2","Technical")</f>
        <v>0</v>
      </c>
      <c r="Z119" s="25"/>
    </row>
    <row r="120" spans="1:26" ht="15" customHeight="1">
      <c r="A120" s="1" t="s">
        <v>93</v>
      </c>
      <c r="B120" s="15">
        <f>+GETPIVOTDATA("Undergrad Student Credit Hour FTE - New",'FTE Pivot for regular counts'!$A$2,"State","VA","Category","7","Category2","Two-Year")</f>
        <v>0</v>
      </c>
      <c r="C120" s="15">
        <f>+GETPIVOTDATA("Undergrad Student Credit Hour FTE - New",'FTE Pivot for regular counts'!$A$2,"State","VA","Category","8","Category2","Two-Year")</f>
        <v>73884.600000000006</v>
      </c>
      <c r="D120" s="15">
        <f>+GETPIVOTDATA("Undergrad Student Credit Hour FTE - New",'FTE Pivot for regular counts'!$A$2,"State","VA","Category","9","Category2","Two-Year")</f>
        <v>46546.633333333339</v>
      </c>
      <c r="E120" s="15">
        <f>+GETPIVOTDATA("Undergrad Student Credit Hour FTE - New",'FTE Pivot for regular counts'!$A$2,"State","VA","Category","10","Category2","Two-Year")</f>
        <v>9872.6666666666679</v>
      </c>
      <c r="F120" s="23">
        <f>+GETPIVOTDATA("Undergrad Student Credit Hour FTE - New",'FTE Pivot for regular counts'!$A$2,"State","VA","Category2","Two-Year")</f>
        <v>130303.90000000001</v>
      </c>
      <c r="G120" s="18">
        <f>+GETPIVOTDATA("Undergrad Student Credit Hour FTE - New",'FTE Pivot for regular counts'!$A$2,"State","VA","Category","12","Category2","Technical")</f>
        <v>0</v>
      </c>
      <c r="H120" s="103">
        <f>+GETPIVOTDATA("Undergrad Student Credit Hour FTE - New",'FTE Pivot for regular counts'!$A$2,"State","VA","Category","13","Category2","Technical")</f>
        <v>0</v>
      </c>
      <c r="I120" s="73">
        <f>+GETPIVOTDATA("Undergrad Student Credit Hour FTE - New",'FTE Pivot for regular counts'!$A$2,"State","VA","Category2","Technical")</f>
        <v>0</v>
      </c>
      <c r="K120" s="73"/>
      <c r="L120" s="73"/>
      <c r="Q120" s="1" t="s">
        <v>93</v>
      </c>
      <c r="R120" s="15">
        <f>+GETPIVOTDATA("Undergrad Student Credit Hour  FTE - Old",'FTE Pivot for regular counts'!$A$2,"State","VA","Category","7","Category2","Two-Year")</f>
        <v>0</v>
      </c>
      <c r="S120" s="15">
        <f>+GETPIVOTDATA("Undergrad Student Credit Hour  FTE - Old",'FTE Pivot for regular counts'!$A$2,"State","VA","Category","8","Category2","Two-Year")</f>
        <v>70279.899999999994</v>
      </c>
      <c r="T120" s="15">
        <f>+GETPIVOTDATA("Undergrad Student Credit Hour  FTE - Old",'FTE Pivot for regular counts'!$A$2,"State","VA","Category","9","Category2","Two-Year")</f>
        <v>46073.933333333342</v>
      </c>
      <c r="U120" s="15">
        <f>+GETPIVOTDATA("Undergrad Student Credit Hour  FTE - Old",'FTE Pivot for regular counts'!$A$2,"State","VA","Category","10","Category2","Two-Year")</f>
        <v>9766.3666666666668</v>
      </c>
      <c r="V120" s="23">
        <f>+GETPIVOTDATA("Undergrad Student Credit Hour  FTE - Old",'FTE Pivot for regular counts'!$A$2,"State","VA","Category2","Two-Year")</f>
        <v>126120.20000000001</v>
      </c>
      <c r="W120" s="18">
        <f>+GETPIVOTDATA("Undergrad Student Credit Hour  FTE - Old",'FTE Pivot for regular counts'!$A$2,"State","VA","Category","12","Category2","Technical")</f>
        <v>0</v>
      </c>
      <c r="X120" s="15">
        <f>+GETPIVOTDATA("Undergrad Student Credit Hour  FTE - Old",'FTE Pivot for regular counts'!$A$2,"State","VA","Category","13","Category2","Technical")</f>
        <v>0</v>
      </c>
      <c r="Y120" s="25">
        <f>+GETPIVOTDATA("Undergrad Student Credit Hour  FTE - Old",'FTE Pivot for regular counts'!$A$2,"State","VA","Category2","Technical")</f>
        <v>0</v>
      </c>
      <c r="Z120" s="25"/>
    </row>
    <row r="121" spans="1:26" ht="15" customHeight="1">
      <c r="A121" s="3" t="s">
        <v>94</v>
      </c>
      <c r="B121" s="6">
        <f>+GETPIVOTDATA("Undergrad Student Credit Hour FTE - New",'FTE Pivot for regular counts'!$A$2,"State","WV","Category","7","Category2","Two-Year")</f>
        <v>4952.2</v>
      </c>
      <c r="C121" s="6">
        <f>+GETPIVOTDATA("Undergrad Student Credit Hour FTE - New",'FTE Pivot for regular counts'!$A$2,"State","WV","Category","8","Category2","Two-Year")</f>
        <v>0</v>
      </c>
      <c r="D121" s="6">
        <f>+GETPIVOTDATA("Undergrad Student Credit Hour FTE - New",'FTE Pivot for regular counts'!$A$2,"State","WV","Category","9","Category2","Two-Year")</f>
        <v>2388.8566666666666</v>
      </c>
      <c r="E121" s="6">
        <f>+GETPIVOTDATA("Undergrad Student Credit Hour FTE - New",'FTE Pivot for regular counts'!$A$2,"State","WV","Category","10","Category2","Two-Year")</f>
        <v>12182.58</v>
      </c>
      <c r="F121" s="24">
        <f>+GETPIVOTDATA("Undergrad Student Credit Hour FTE - New",'FTE Pivot for regular counts'!$A$2,"State","WV","Category2","Two-Year")</f>
        <v>19523.636666666665</v>
      </c>
      <c r="G121" s="19">
        <f>+GETPIVOTDATA("Undergrad Student Credit Hour FTE - New",'FTE Pivot for regular counts'!$A$2,"State","WV","Category","12","Category2","Technical")</f>
        <v>0</v>
      </c>
      <c r="H121" s="116">
        <f>+GETPIVOTDATA("Undergrad Student Credit Hour FTE - New",'FTE Pivot for regular counts'!$A$2,"State","WV","Category","13","Category2","Technical")</f>
        <v>0</v>
      </c>
      <c r="I121" s="83">
        <f>+GETPIVOTDATA("Undergrad Student Credit Hour FTE - New",'FTE Pivot for regular counts'!$A$2,"State","WV","Category2","Technical")</f>
        <v>0</v>
      </c>
      <c r="K121" s="73"/>
      <c r="L121" s="73"/>
      <c r="Q121" s="3" t="s">
        <v>94</v>
      </c>
      <c r="R121" s="6">
        <f>+GETPIVOTDATA("Undergrad Student Credit Hour  FTE - Old",'FTE Pivot for regular counts'!$A$2,"State","WV","Category","7","Category2","Two-Year")</f>
        <v>4993.0333333333328</v>
      </c>
      <c r="S121" s="6">
        <f>+GETPIVOTDATA("Undergrad Student Credit Hour  FTE - Old",'FTE Pivot for regular counts'!$A$2,"State","WV","Category","8","Category2","Two-Year")</f>
        <v>0</v>
      </c>
      <c r="T121" s="6">
        <f>+GETPIVOTDATA("Undergrad Student Credit Hour  FTE - Old",'FTE Pivot for regular counts'!$A$2,"State","WV","Category","9","Category2","Two-Year")</f>
        <v>2555.5433333333335</v>
      </c>
      <c r="U121" s="6">
        <f>+GETPIVOTDATA("Undergrad Student Credit Hour  FTE - Old",'FTE Pivot for regular counts'!$A$2,"State","WV","Category","10","Category2","Two-Year")</f>
        <v>11955.54</v>
      </c>
      <c r="V121" s="24">
        <f>+GETPIVOTDATA("Undergrad Student Credit Hour  FTE - Old",'FTE Pivot for regular counts'!$A$2,"State","WV","Category2","Two-Year")</f>
        <v>19504.116666666669</v>
      </c>
      <c r="W121" s="19">
        <f>+GETPIVOTDATA("Undergrad Student Credit Hour  FTE - Old",'FTE Pivot for regular counts'!$A$2,"State","WV","Category","12","Category2","Technical")</f>
        <v>0</v>
      </c>
      <c r="X121" s="6">
        <f>+GETPIVOTDATA("Undergrad Student Credit Hour  FTE - Old",'FTE Pivot for regular counts'!$A$2,"State","WV","Category","13","Category2","Technical")</f>
        <v>0</v>
      </c>
      <c r="Y121" s="3">
        <f>+GETPIVOTDATA("Undergrad Student Credit Hour  FTE - Old",'FTE Pivot for regular counts'!$A$2,"State","WV","Category2","Technical")</f>
        <v>0</v>
      </c>
      <c r="Z121" s="25"/>
    </row>
    <row r="122" spans="1:26" ht="36.75" customHeight="1">
      <c r="A122" s="811" t="s">
        <v>987</v>
      </c>
      <c r="B122" s="811"/>
      <c r="C122" s="811"/>
      <c r="D122" s="811"/>
      <c r="E122" s="811"/>
      <c r="F122" s="811"/>
      <c r="G122" s="811"/>
      <c r="H122" s="811"/>
      <c r="I122" s="811"/>
      <c r="J122" s="621"/>
      <c r="K122" s="163"/>
      <c r="L122" s="163"/>
      <c r="M122" s="200"/>
    </row>
    <row r="123" spans="1:26" ht="10.5" customHeight="1">
      <c r="I123" s="169" t="s">
        <v>1018</v>
      </c>
      <c r="J123" s="169"/>
      <c r="K123" s="169"/>
      <c r="L123" s="169"/>
      <c r="M123" s="201"/>
    </row>
    <row r="124" spans="1:26" ht="18">
      <c r="A124" s="812" t="s">
        <v>226</v>
      </c>
      <c r="B124" s="812"/>
      <c r="C124" s="812"/>
      <c r="D124" s="812"/>
      <c r="E124" s="812"/>
      <c r="F124" s="812"/>
      <c r="G124" s="812"/>
      <c r="H124" s="812"/>
      <c r="I124" s="812"/>
      <c r="J124" s="812"/>
      <c r="K124" s="164"/>
      <c r="L124" s="164"/>
      <c r="M124" s="178"/>
    </row>
    <row r="125" spans="1:26" ht="15.75">
      <c r="A125" s="77"/>
      <c r="B125" s="17"/>
      <c r="C125" s="43"/>
      <c r="D125" s="55"/>
      <c r="E125" s="17"/>
      <c r="F125" s="17"/>
      <c r="G125" s="17"/>
      <c r="H125" s="117"/>
      <c r="I125" s="17"/>
      <c r="J125" s="117"/>
      <c r="K125" s="117"/>
      <c r="L125" s="117"/>
      <c r="Q125" s="1" t="s">
        <v>49</v>
      </c>
    </row>
    <row r="126" spans="1:26" ht="15.75">
      <c r="A126" s="813" t="s">
        <v>46</v>
      </c>
      <c r="B126" s="813"/>
      <c r="C126" s="813"/>
      <c r="D126" s="813"/>
      <c r="E126" s="813"/>
      <c r="F126" s="813"/>
      <c r="G126" s="813"/>
      <c r="H126" s="813"/>
      <c r="I126" s="813"/>
      <c r="J126" s="813"/>
      <c r="K126" s="132"/>
      <c r="L126" s="132"/>
      <c r="Q126" s="196" t="s">
        <v>46</v>
      </c>
      <c r="R126" s="132"/>
      <c r="S126" s="132"/>
      <c r="T126" s="132"/>
      <c r="U126" s="132"/>
      <c r="V126" s="132"/>
      <c r="W126" s="132"/>
      <c r="X126" s="132"/>
      <c r="Y126" s="132"/>
      <c r="Z126" s="132"/>
    </row>
    <row r="127" spans="1:26" ht="15.75">
      <c r="A127" s="813" t="s">
        <v>988</v>
      </c>
      <c r="B127" s="813"/>
      <c r="C127" s="813"/>
      <c r="D127" s="813"/>
      <c r="E127" s="813"/>
      <c r="F127" s="813"/>
      <c r="G127" s="813"/>
      <c r="H127" s="813"/>
      <c r="I127" s="813"/>
      <c r="J127" s="813"/>
      <c r="K127" s="132"/>
      <c r="L127" s="132"/>
      <c r="Q127" s="196" t="s">
        <v>229</v>
      </c>
      <c r="R127" s="132"/>
      <c r="S127" s="132"/>
      <c r="T127" s="132"/>
      <c r="U127" s="132"/>
      <c r="V127" s="132"/>
      <c r="W127" s="132"/>
      <c r="X127" s="132"/>
      <c r="Y127" s="132"/>
      <c r="Z127" s="132"/>
    </row>
    <row r="128" spans="1:26">
      <c r="A128" s="22"/>
      <c r="B128" s="22"/>
      <c r="C128" s="22"/>
      <c r="D128" s="22"/>
      <c r="E128" s="22"/>
      <c r="F128" s="22"/>
      <c r="G128" s="22"/>
      <c r="H128" s="106"/>
      <c r="I128" s="22"/>
      <c r="J128" s="106"/>
      <c r="K128" s="106"/>
      <c r="L128" s="106"/>
      <c r="Q128" s="22"/>
      <c r="R128" s="22"/>
      <c r="S128" s="22"/>
      <c r="T128" s="22"/>
      <c r="U128" s="22"/>
      <c r="V128" s="22"/>
      <c r="W128" s="22"/>
      <c r="X128" s="22"/>
      <c r="Y128" s="22"/>
      <c r="Z128" s="22"/>
    </row>
    <row r="129" spans="1:25">
      <c r="A129" s="721"/>
      <c r="B129" s="722" t="s">
        <v>78</v>
      </c>
      <c r="C129" s="722"/>
      <c r="D129" s="650"/>
      <c r="E129" s="650"/>
      <c r="F129" s="650"/>
      <c r="G129" s="723" t="s">
        <v>56</v>
      </c>
      <c r="H129" s="108"/>
      <c r="I129" s="724"/>
      <c r="J129" s="170" t="s">
        <v>39</v>
      </c>
      <c r="K129" s="170"/>
      <c r="L129" s="73"/>
      <c r="M129" s="1"/>
      <c r="P129" s="61"/>
      <c r="Q129" s="56" t="s">
        <v>78</v>
      </c>
      <c r="R129" s="56"/>
      <c r="S129" s="27"/>
      <c r="T129" s="27"/>
      <c r="U129" s="27"/>
      <c r="V129" s="57" t="s">
        <v>56</v>
      </c>
      <c r="W129" s="29"/>
      <c r="X129" s="30"/>
      <c r="Y129" s="735" t="s">
        <v>39</v>
      </c>
    </row>
    <row r="130" spans="1:25" ht="24">
      <c r="A130" s="45"/>
      <c r="B130" s="58" t="s">
        <v>156</v>
      </c>
      <c r="C130" s="46">
        <v>1</v>
      </c>
      <c r="D130" s="46">
        <v>2</v>
      </c>
      <c r="E130" s="46">
        <v>3</v>
      </c>
      <c r="F130" s="46" t="s">
        <v>41</v>
      </c>
      <c r="G130" s="60">
        <v>1</v>
      </c>
      <c r="H130" s="94">
        <v>2</v>
      </c>
      <c r="I130" s="93" t="s">
        <v>41</v>
      </c>
      <c r="J130" s="123"/>
      <c r="K130" s="123"/>
      <c r="L130" s="73"/>
      <c r="M130" s="1"/>
      <c r="P130" s="45"/>
      <c r="Q130" s="58" t="s">
        <v>156</v>
      </c>
      <c r="R130" s="46">
        <v>1</v>
      </c>
      <c r="S130" s="46">
        <v>2</v>
      </c>
      <c r="T130" s="46">
        <v>3</v>
      </c>
      <c r="U130" s="46" t="s">
        <v>41</v>
      </c>
      <c r="V130" s="60">
        <v>1</v>
      </c>
      <c r="W130" s="47">
        <v>2</v>
      </c>
      <c r="X130" s="46" t="s">
        <v>41</v>
      </c>
      <c r="Y130" s="736"/>
    </row>
    <row r="131" spans="1:25" ht="15" customHeight="1">
      <c r="A131" s="1" t="s">
        <v>79</v>
      </c>
      <c r="B131" s="7">
        <f>+GETPIVOTDATA(" Undergrad Contact Hour FTE - New",'FTE Pivot for regular counts'!$A$2,"Category","7","Category2","Two-Year")</f>
        <v>14589.29888888889</v>
      </c>
      <c r="C131" s="7">
        <f>+GETPIVOTDATA(" Undergrad Contact Hour FTE - New",'FTE Pivot for regular counts'!$A$2,"Category","8","Category2","Two-Year")</f>
        <v>23129.855555555554</v>
      </c>
      <c r="D131" s="7">
        <f>+GETPIVOTDATA(" Undergrad Contact Hour FTE - New",'FTE Pivot for regular counts'!$A$2,"Category","9","Category2","Two-Year")</f>
        <v>6531.0811111111116</v>
      </c>
      <c r="E131" s="7">
        <f>+GETPIVOTDATA(" Undergrad Contact Hour FTE - New",'FTE Pivot for regular counts'!$A$2,"Category","10","Category2","Two-Year")</f>
        <v>1020.5222222222222</v>
      </c>
      <c r="F131" s="8">
        <f>+GETPIVOTDATA(" Undergrad Contact Hour FTE - New",'FTE Pivot for regular counts'!$A$2,"Category2","Two-Year")</f>
        <v>45270.757777777784</v>
      </c>
      <c r="G131" s="7">
        <f>+GETPIVOTDATA(" Undergrad Contact Hour FTE - New",'FTE Pivot for regular counts'!$A$2,"Category","12","Category2","Technical")</f>
        <v>4304.7606777777773</v>
      </c>
      <c r="H131" s="118">
        <f>+GETPIVOTDATA(" Undergrad Contact Hour FTE - New",'FTE Pivot for regular counts'!$A$2,"Category","13","Category2","Technical")</f>
        <v>31591.134299999998</v>
      </c>
      <c r="I131" s="118">
        <f>+GETPIVOTDATA(" Undergrad Contact Hour FTE - New",'FTE Pivot for regular counts'!$A$2,"Category2","Technical")</f>
        <v>35895.894977777774</v>
      </c>
      <c r="J131" s="118"/>
      <c r="K131" s="118"/>
      <c r="L131" s="73"/>
      <c r="M131" s="1"/>
      <c r="P131" s="1" t="s">
        <v>79</v>
      </c>
      <c r="Q131" s="7">
        <f>+GETPIVOTDATA(" Undergrad Contact Hour FTE - Old",'FTE Pivot for regular counts'!$A$2,"Category","7","Category2","Two-Year")</f>
        <v>19623.815555555557</v>
      </c>
      <c r="R131" s="7">
        <f>+GETPIVOTDATA(" Undergrad Contact Hour FTE - Old",'FTE Pivot for regular counts'!$A$2,"Category","8","Category2","Two-Year")</f>
        <v>26947.315555555557</v>
      </c>
      <c r="S131" s="7">
        <f>+GETPIVOTDATA(" Undergrad Contact Hour FTE - Old",'FTE Pivot for regular counts'!$A$2,"Category","9","Category2","Two-Year")</f>
        <v>7645.55</v>
      </c>
      <c r="T131" s="7">
        <f>+GETPIVOTDATA(" Undergrad Contact Hour FTE - Old",'FTE Pivot for regular counts'!$A$2,"Category","10","Category2","Two-Year")</f>
        <v>1073.4944444444443</v>
      </c>
      <c r="U131" s="8">
        <f>+GETPIVOTDATA(" Undergrad Contact Hour FTE - Old",'FTE Pivot for regular counts'!$A$2,"Category2","Two-Year")</f>
        <v>55290.175555555557</v>
      </c>
      <c r="V131" s="7">
        <f>+GETPIVOTDATA(" Undergrad Contact Hour FTE - Old",'FTE Pivot for regular counts'!$A$2,"Category","12","Category2","Technical")</f>
        <v>4723.4119777777778</v>
      </c>
      <c r="W131" s="7">
        <f>+GETPIVOTDATA(" Undergrad Contact Hour FTE - Old",'FTE Pivot for regular counts'!$A$2,"Category","13","Category2","Technical")</f>
        <v>30199.296344444447</v>
      </c>
      <c r="X131" s="7">
        <f>+GETPIVOTDATA(" Undergrad Contact Hour FTE - Old",'FTE Pivot for regular counts'!$A$2,"Category2","Technical")</f>
        <v>34922.708322222228</v>
      </c>
      <c r="Y131" s="32"/>
    </row>
    <row r="132" spans="1:25" ht="15" customHeight="1">
      <c r="B132" s="7"/>
      <c r="C132" s="32"/>
      <c r="D132" s="32"/>
      <c r="G132" s="31"/>
      <c r="I132" s="4"/>
      <c r="L132" s="73"/>
      <c r="M132" s="1"/>
      <c r="Q132" s="7"/>
      <c r="R132" s="32"/>
      <c r="S132" s="32"/>
      <c r="V132" s="31"/>
      <c r="Y132" s="25"/>
    </row>
    <row r="133" spans="1:25" ht="15" customHeight="1">
      <c r="A133" s="1" t="s">
        <v>80</v>
      </c>
      <c r="B133" s="7">
        <f>+GETPIVOTDATA(" Undergrad Contact Hour FTE - New",'FTE Pivot for regular counts'!$A$2,"State","AL","Category","7","Category2","Two-Year")</f>
        <v>0</v>
      </c>
      <c r="C133" s="7">
        <f>+GETPIVOTDATA(" Undergrad Contact Hour FTE - New",'FTE Pivot for regular counts'!$A$2,"State","AL","Category","8","Category2","Two-Year")</f>
        <v>0</v>
      </c>
      <c r="D133" s="7">
        <f>+GETPIVOTDATA(" Undergrad Contact Hour FTE - New",'FTE Pivot for regular counts'!$A$2,"State","AL","Category","9","Category2","Two-Year")</f>
        <v>0</v>
      </c>
      <c r="E133" s="7">
        <f>+GETPIVOTDATA(" Undergrad Contact Hour FTE - New",'FTE Pivot for regular counts'!$A$2,"State","AL","Category","10","Category2","Two-Year")</f>
        <v>0</v>
      </c>
      <c r="F133" s="8">
        <f>+GETPIVOTDATA(" Undergrad Contact Hour FTE - New",'FTE Pivot for regular counts'!$A$2,"State","AL","Category2","Two-Year")</f>
        <v>0</v>
      </c>
      <c r="G133" s="7">
        <f>+GETPIVOTDATA(" Undergrad Contact Hour FTE - New",'FTE Pivot for regular counts'!$A$2,"State","AL","Category","12","Category2","Technical")</f>
        <v>0</v>
      </c>
      <c r="H133" s="118">
        <f>+GETPIVOTDATA(" Undergrad Contact Hour FTE - New",'FTE Pivot for regular counts'!$A$2,"State","AL","Category","13","Category2","Technical")</f>
        <v>0</v>
      </c>
      <c r="I133" s="118">
        <f>+GETPIVOTDATA(" Undergrad Contact Hour FTE - New",'FTE Pivot for regular counts'!$A$2,"State","AL","Category2","Technical")</f>
        <v>0</v>
      </c>
      <c r="J133" s="118"/>
      <c r="K133" s="118"/>
      <c r="L133" s="73"/>
      <c r="M133" s="1"/>
      <c r="P133" s="1" t="s">
        <v>80</v>
      </c>
      <c r="Q133" s="7">
        <f>+GETPIVOTDATA(" Undergrad Contact Hour FTE - Old",'FTE Pivot for regular counts'!$A$2,"State","AL","Category","7","Category2","Two-Year")</f>
        <v>0</v>
      </c>
      <c r="R133" s="7">
        <f>+GETPIVOTDATA(" Undergrad Contact Hour FTE - Old",'FTE Pivot for regular counts'!$A$2,"State","AL","Category","8","Category2","Two-Year")</f>
        <v>0</v>
      </c>
      <c r="S133" s="7">
        <f>+GETPIVOTDATA(" Undergrad Contact Hour FTE - Old",'FTE Pivot for regular counts'!$A$2,"State","AL","Category","9","Category2","Two-Year")</f>
        <v>0</v>
      </c>
      <c r="T133" s="7">
        <f>+GETPIVOTDATA(" Undergrad Contact Hour FTE - Old",'FTE Pivot for regular counts'!$A$2,"State","AL","Category","10","Category2","Two-Year")</f>
        <v>0</v>
      </c>
      <c r="U133" s="8">
        <f>+GETPIVOTDATA(" Undergrad Contact Hour FTE - Old",'FTE Pivot for regular counts'!$A$2,"State","AL","Category2","Two-Year")</f>
        <v>0</v>
      </c>
      <c r="V133" s="7">
        <f>+GETPIVOTDATA(" Undergrad Contact Hour FTE - Old",'FTE Pivot for regular counts'!$A$2,"State","AL","Category","12","Category2","Technical")</f>
        <v>0</v>
      </c>
      <c r="W133" s="7">
        <f>+GETPIVOTDATA(" Undergrad Contact Hour FTE - Old",'FTE Pivot for regular counts'!$A$2,"State","AL","Category","13","Category2","Technical")</f>
        <v>0</v>
      </c>
      <c r="X133" s="7">
        <f>+GETPIVOTDATA(" Undergrad Contact Hour FTE - Old",'FTE Pivot for regular counts'!$A$2,"State","AL","Category2","Technical")</f>
        <v>0</v>
      </c>
      <c r="Y133" s="32"/>
    </row>
    <row r="134" spans="1:25" ht="15" customHeight="1">
      <c r="A134" s="1" t="s">
        <v>81</v>
      </c>
      <c r="B134" s="32">
        <f>+GETPIVOTDATA(" Undergrad Contact Hour FTE - New",'FTE Pivot for regular counts'!$A$2,"State","AR","Category","7","Category2","Two-Year")</f>
        <v>0</v>
      </c>
      <c r="C134" s="32">
        <f>+GETPIVOTDATA(" Undergrad Contact Hour FTE - New",'FTE Pivot for regular counts'!$A$2,"State","AR","Category","8","Category2","Two-Year")</f>
        <v>0</v>
      </c>
      <c r="D134" s="32">
        <f>+GETPIVOTDATA(" Undergrad Contact Hour FTE - New",'FTE Pivot for regular counts'!$A$2,"State","AR","Category","9","Category2","Two-Year")</f>
        <v>0</v>
      </c>
      <c r="E134" s="32">
        <f>+GETPIVOTDATA(" Undergrad Contact Hour FTE - New",'FTE Pivot for regular counts'!$A$2,"State","AR","Category","10","Category2","Two-Year")</f>
        <v>0</v>
      </c>
      <c r="F134" s="8">
        <f>+GETPIVOTDATA(" Undergrad Contact Hour FTE - New",'FTE Pivot for regular counts'!$A$2,"State","AR","Category2","Two-Year")</f>
        <v>0</v>
      </c>
      <c r="G134" s="32">
        <f>+GETPIVOTDATA(" Undergrad Contact Hour FTE - New",'FTE Pivot for regular counts'!$A$2,"State","AR","Category","12","Category2","Technical")</f>
        <v>0</v>
      </c>
      <c r="H134" s="119">
        <f>+GETPIVOTDATA(" Undergrad Contact Hour FTE - New",'FTE Pivot for regular counts'!$A$2,"State","AR","Category","13","Category2","Technical")</f>
        <v>0</v>
      </c>
      <c r="I134" s="119">
        <f>+GETPIVOTDATA(" Undergrad Contact Hour FTE - New",'FTE Pivot for regular counts'!$A$2,"State","AR","Category2","Technical")</f>
        <v>0</v>
      </c>
      <c r="J134" s="119"/>
      <c r="K134" s="119"/>
      <c r="L134" s="73"/>
      <c r="M134" s="1"/>
      <c r="P134" s="1" t="s">
        <v>81</v>
      </c>
      <c r="Q134" s="32">
        <f>+GETPIVOTDATA(" Undergrad Contact Hour FTE - Old",'FTE Pivot for regular counts'!$A$2,"State","AR","Category","7","Category2","Two-Year")</f>
        <v>0</v>
      </c>
      <c r="R134" s="32">
        <f>+GETPIVOTDATA(" Undergrad Contact Hour FTE - Old",'FTE Pivot for regular counts'!$A$2,"State","AR","Category","8","Category2","Two-Year")</f>
        <v>0</v>
      </c>
      <c r="S134" s="32">
        <f>+GETPIVOTDATA(" Undergrad Contact Hour FTE - Old",'FTE Pivot for regular counts'!$A$2,"State","AR","Category","9","Category2","Two-Year")</f>
        <v>0</v>
      </c>
      <c r="T134" s="32">
        <f>+GETPIVOTDATA(" Undergrad Contact Hour FTE - Old",'FTE Pivot for regular counts'!$A$2,"State","AR","Category","10","Category2","Two-Year")</f>
        <v>0</v>
      </c>
      <c r="U134" s="8">
        <f>+GETPIVOTDATA(" Undergrad Contact Hour FTE - Old",'FTE Pivot for regular counts'!$A$2,"State","AR","Category2","Two-Year")</f>
        <v>0</v>
      </c>
      <c r="V134" s="32">
        <f>+GETPIVOTDATA(" Undergrad Contact Hour FTE - Old",'FTE Pivot for regular counts'!$A$2,"State","AR","Category","12","Category2","Technical")</f>
        <v>0</v>
      </c>
      <c r="W134" s="32">
        <f>+GETPIVOTDATA(" Undergrad Contact Hour FTE - Old",'FTE Pivot for regular counts'!$A$2,"State","AR","Category","13","Category2","Technical")</f>
        <v>0</v>
      </c>
      <c r="X134" s="32">
        <f>+GETPIVOTDATA(" Undergrad Contact Hour FTE - Old",'FTE Pivot for regular counts'!$A$2,"State","AR","Category2","Technical")</f>
        <v>0</v>
      </c>
      <c r="Y134" s="32"/>
    </row>
    <row r="135" spans="1:25" ht="15" customHeight="1">
      <c r="A135" s="1" t="s">
        <v>118</v>
      </c>
      <c r="B135" s="32">
        <f>+GETPIVOTDATA(" Undergrad Contact Hour FTE - New",'FTE Pivot for regular counts'!$A$2,"State","DE","Category","7","Category2","Two-Year")</f>
        <v>0</v>
      </c>
      <c r="C135" s="32">
        <f>+GETPIVOTDATA(" Undergrad Contact Hour FTE - New",'FTE Pivot for regular counts'!$A$2,"State","DE","Category","8","Category2","Two-Year")</f>
        <v>0</v>
      </c>
      <c r="D135" s="32">
        <f>+GETPIVOTDATA(" Undergrad Contact Hour FTE - New",'FTE Pivot for regular counts'!$A$2,"State","DE","Category","9","Category2","Two-Year")</f>
        <v>0</v>
      </c>
      <c r="E135" s="32">
        <f>+GETPIVOTDATA(" Undergrad Contact Hour FTE - New",'FTE Pivot for regular counts'!$A$2,"State","DE","Category","10","Category2","Two-Year")</f>
        <v>0</v>
      </c>
      <c r="F135" s="8">
        <f>+GETPIVOTDATA(" Undergrad Contact Hour FTE - New",'FTE Pivot for regular counts'!$A$2,"State","DE","Category2","Two-Year")</f>
        <v>0</v>
      </c>
      <c r="G135" s="32">
        <f>+GETPIVOTDATA(" Undergrad Contact Hour FTE - New",'FTE Pivot for regular counts'!$A$2,"State","DE","Category","12","Category2","Technical")</f>
        <v>0</v>
      </c>
      <c r="H135" s="119">
        <f>+GETPIVOTDATA(" Undergrad Contact Hour FTE - New",'FTE Pivot for regular counts'!$A$2,"State","DE","Category","13","Category2","Technical")</f>
        <v>0</v>
      </c>
      <c r="I135" s="119">
        <f>+GETPIVOTDATA(" Undergrad Contact Hour FTE - New",'FTE Pivot for regular counts'!$A$2,"State","DE","Category2","Technical")</f>
        <v>0</v>
      </c>
      <c r="J135" s="119"/>
      <c r="K135" s="119"/>
      <c r="L135" s="73"/>
      <c r="M135" s="1"/>
      <c r="P135" s="1" t="s">
        <v>118</v>
      </c>
      <c r="Q135" s="32">
        <f>+GETPIVOTDATA(" Undergrad Contact Hour FTE - Old",'FTE Pivot for regular counts'!$A$2,"State","DE","Category","7","Category2","Two-Year")</f>
        <v>0</v>
      </c>
      <c r="R135" s="32">
        <f>+GETPIVOTDATA(" Undergrad Contact Hour FTE - Old",'FTE Pivot for regular counts'!$A$2,"State","DE","Category","8","Category2","Two-Year")</f>
        <v>0</v>
      </c>
      <c r="S135" s="32">
        <f>+GETPIVOTDATA(" Undergrad Contact Hour FTE - Old",'FTE Pivot for regular counts'!$A$2,"State","DE","Category","9","Category2","Two-Year")</f>
        <v>0</v>
      </c>
      <c r="T135" s="32">
        <f>+GETPIVOTDATA(" Undergrad Contact Hour FTE - Old",'FTE Pivot for regular counts'!$A$2,"State","DE","Category","10","Category2","Two-Year")</f>
        <v>0</v>
      </c>
      <c r="U135" s="8">
        <f>+GETPIVOTDATA(" Undergrad Contact Hour FTE - Old",'FTE Pivot for regular counts'!$A$2,"State","DE","Category2","Two-Year")</f>
        <v>0</v>
      </c>
      <c r="V135" s="32">
        <f>+GETPIVOTDATA(" Undergrad Contact Hour FTE - Old",'FTE Pivot for regular counts'!$A$2,"State","DE","Category","12","Category2","Technical")</f>
        <v>0</v>
      </c>
      <c r="W135" s="32">
        <f>+GETPIVOTDATA(" Undergrad Contact Hour FTE - Old",'FTE Pivot for regular counts'!$A$2,"State","DE","Category","13","Category2","Technical")</f>
        <v>0</v>
      </c>
      <c r="X135" s="32">
        <f>+GETPIVOTDATA(" Undergrad Contact Hour FTE - Old",'FTE Pivot for regular counts'!$A$2,"State","DE","Category2","Technical")</f>
        <v>0</v>
      </c>
      <c r="Y135" s="32"/>
    </row>
    <row r="136" spans="1:25" ht="15" customHeight="1">
      <c r="A136" s="1" t="s">
        <v>82</v>
      </c>
      <c r="B136" s="32">
        <f>+GETPIVOTDATA(" Undergrad Contact Hour FTE - New",'FTE Pivot for regular counts'!$A$2,"State","FL","Category","7","Category2","Two-Year")</f>
        <v>14118.404444444446</v>
      </c>
      <c r="C136" s="32">
        <f>+GETPIVOTDATA(" Undergrad Contact Hour FTE - New",'FTE Pivot for regular counts'!$A$2,"State","FL","Category","8","Category2","Two-Year")</f>
        <v>10012.414444444443</v>
      </c>
      <c r="D136" s="32">
        <f>+GETPIVOTDATA(" Undergrad Contact Hour FTE - New",'FTE Pivot for regular counts'!$A$2,"State","FL","Category","9","Category2","Two-Year")</f>
        <v>1927.6377777777777</v>
      </c>
      <c r="E136" s="32">
        <f>+GETPIVOTDATA(" Undergrad Contact Hour FTE - New",'FTE Pivot for regular counts'!$A$2,"State","FL","Category","10","Category2","Two-Year")</f>
        <v>153.69222222222223</v>
      </c>
      <c r="F136" s="8">
        <f>+GETPIVOTDATA(" Undergrad Contact Hour FTE - New",'FTE Pivot for regular counts'!$A$2,"State","FL","Category2","Two-Year")</f>
        <v>26212.148888888893</v>
      </c>
      <c r="G136" s="32">
        <f>+GETPIVOTDATA(" Undergrad Contact Hour FTE - New",'FTE Pivot for regular counts'!$A$2,"State","FL","Category","12","Category2","Technical")</f>
        <v>0</v>
      </c>
      <c r="H136" s="119">
        <f>+GETPIVOTDATA(" Undergrad Contact Hour FTE - New",'FTE Pivot for regular counts'!$A$2,"State","FL","Category","13","Category2","Technical")</f>
        <v>0</v>
      </c>
      <c r="I136" s="119">
        <f>+GETPIVOTDATA(" Undergrad Contact Hour FTE - New",'FTE Pivot for regular counts'!$A$2,"State","FL","Category2","Technical")</f>
        <v>0</v>
      </c>
      <c r="J136" s="119"/>
      <c r="K136" s="119"/>
      <c r="L136" s="73"/>
      <c r="M136" s="1"/>
      <c r="P136" s="1" t="s">
        <v>82</v>
      </c>
      <c r="Q136" s="32">
        <f>+GETPIVOTDATA(" Undergrad Contact Hour FTE - Old",'FTE Pivot for regular counts'!$A$2,"State","FL","Category","7","Category2","Two-Year")</f>
        <v>19079.333333333336</v>
      </c>
      <c r="R136" s="32">
        <f>+GETPIVOTDATA(" Undergrad Contact Hour FTE - Old",'FTE Pivot for regular counts'!$A$2,"State","FL","Category","8","Category2","Two-Year")</f>
        <v>11940.693333333333</v>
      </c>
      <c r="S136" s="32">
        <f>+GETPIVOTDATA(" Undergrad Contact Hour FTE - Old",'FTE Pivot for regular counts'!$A$2,"State","FL","Category","9","Category2","Two-Year")</f>
        <v>2463.7033333333338</v>
      </c>
      <c r="T136" s="32">
        <f>+GETPIVOTDATA(" Undergrad Contact Hour FTE - Old",'FTE Pivot for regular counts'!$A$2,"State","FL","Category","10","Category2","Two-Year")</f>
        <v>169.26222222222219</v>
      </c>
      <c r="U136" s="8">
        <f>+GETPIVOTDATA(" Undergrad Contact Hour FTE - Old",'FTE Pivot for regular counts'!$A$2,"State","FL","Category2","Two-Year")</f>
        <v>33652.992222222223</v>
      </c>
      <c r="V136" s="32">
        <f>+GETPIVOTDATA(" Undergrad Contact Hour FTE - Old",'FTE Pivot for regular counts'!$A$2,"State","FL","Category","12","Category2","Technical")</f>
        <v>0</v>
      </c>
      <c r="W136" s="32">
        <f>+GETPIVOTDATA(" Undergrad Contact Hour FTE - Old",'FTE Pivot for regular counts'!$A$2,"State","FL","Category","13","Category2","Technical")</f>
        <v>0</v>
      </c>
      <c r="X136" s="32">
        <f>+GETPIVOTDATA(" Undergrad Contact Hour FTE - Old",'FTE Pivot for regular counts'!$A$2,"State","FL","Category2","Technical")</f>
        <v>0</v>
      </c>
      <c r="Y136" s="32"/>
    </row>
    <row r="137" spans="1:25" ht="15" customHeight="1">
      <c r="B137" s="32"/>
      <c r="C137" s="32"/>
      <c r="D137" s="32"/>
      <c r="E137" s="32"/>
      <c r="F137" s="8"/>
      <c r="G137" s="32"/>
      <c r="H137" s="119"/>
      <c r="I137" s="119"/>
      <c r="J137" s="119"/>
      <c r="K137" s="119"/>
      <c r="L137" s="73"/>
      <c r="M137" s="1"/>
      <c r="Q137" s="32"/>
      <c r="R137" s="32"/>
      <c r="S137" s="32"/>
      <c r="T137" s="32"/>
      <c r="U137" s="8"/>
      <c r="V137" s="32"/>
      <c r="W137" s="32"/>
      <c r="X137" s="32"/>
      <c r="Y137" s="32"/>
    </row>
    <row r="138" spans="1:25" ht="15" customHeight="1">
      <c r="A138" s="1" t="s">
        <v>83</v>
      </c>
      <c r="B138" s="32">
        <f>+GETPIVOTDATA(" Undergrad Contact Hour FTE - New",'FTE Pivot for regular counts'!$A$2,"State","GA","Category","7","Category2","Two-Year")</f>
        <v>0</v>
      </c>
      <c r="C138" s="32">
        <f>+GETPIVOTDATA(" Undergrad Contact Hour FTE - New",'FTE Pivot for regular counts'!$A$2,"State","GA","Category","8","Category2","Two-Year")</f>
        <v>0</v>
      </c>
      <c r="D138" s="32">
        <f>+GETPIVOTDATA(" Undergrad Contact Hour FTE - New",'FTE Pivot for regular counts'!$A$2,"State","GA","Category","9","Category2","Two-Year")</f>
        <v>0</v>
      </c>
      <c r="E138" s="32">
        <f>+GETPIVOTDATA(" Undergrad Contact Hour FTE - New",'FTE Pivot for regular counts'!$A$2,"State","GA","Category","10","Category2","Two-Year")</f>
        <v>0</v>
      </c>
      <c r="F138" s="8">
        <f>+GETPIVOTDATA(" Undergrad Contact Hour FTE - New",'FTE Pivot for regular counts'!$A$2,"State","GA","Category2","Two-Year")</f>
        <v>0</v>
      </c>
      <c r="G138" s="32">
        <f>+GETPIVOTDATA(" Undergrad Contact Hour FTE - New",'FTE Pivot for regular counts'!$A$2,"State","GA","Category","12","Category2","Technical")</f>
        <v>0</v>
      </c>
      <c r="H138" s="119">
        <f>+GETPIVOTDATA(" Undergrad Contact Hour FTE - New",'FTE Pivot for regular counts'!$A$2,"State","GA","Category","13","Category2","Technical")</f>
        <v>0</v>
      </c>
      <c r="I138" s="119">
        <f>+GETPIVOTDATA(" Undergrad Contact Hour FTE - New",'FTE Pivot for regular counts'!$A$2,"State","GA","Category2","Technical")</f>
        <v>0</v>
      </c>
      <c r="J138" s="119"/>
      <c r="K138" s="119"/>
      <c r="L138" s="73"/>
      <c r="M138" s="1"/>
      <c r="P138" s="1" t="s">
        <v>83</v>
      </c>
      <c r="Q138" s="32">
        <f>+GETPIVOTDATA(" Undergrad Contact Hour FTE - Old",'FTE Pivot for regular counts'!$A$2,"State","GA","Category","7","Category2","Two-Year")</f>
        <v>0</v>
      </c>
      <c r="R138" s="32">
        <f>+GETPIVOTDATA(" Undergrad Contact Hour FTE - Old",'FTE Pivot for regular counts'!$A$2,"State","GA","Category","8","Category2","Two-Year")</f>
        <v>0</v>
      </c>
      <c r="S138" s="32">
        <f>+GETPIVOTDATA(" Undergrad Contact Hour FTE - Old",'FTE Pivot for regular counts'!$A$2,"State","GA","Category","9","Category2","Two-Year")</f>
        <v>0</v>
      </c>
      <c r="T138" s="32">
        <f>+GETPIVOTDATA(" Undergrad Contact Hour FTE - Old",'FTE Pivot for regular counts'!$A$2,"State","GA","Category","10","Category2","Two-Year")</f>
        <v>0</v>
      </c>
      <c r="U138" s="8">
        <f>+GETPIVOTDATA(" Undergrad Contact Hour FTE - Old",'FTE Pivot for regular counts'!$A$2,"State","GA","Category2","Two-Year")</f>
        <v>0</v>
      </c>
      <c r="V138" s="32">
        <f>+GETPIVOTDATA(" Undergrad Contact Hour FTE - Old",'FTE Pivot for regular counts'!$A$2,"State","GA","Category","12","Category2","Technical")</f>
        <v>0</v>
      </c>
      <c r="W138" s="32">
        <f>+GETPIVOTDATA(" Undergrad Contact Hour FTE - Old",'FTE Pivot for regular counts'!$A$2,"State","GA","Category","13","Category2","Technical")</f>
        <v>0</v>
      </c>
      <c r="X138" s="32">
        <f>+GETPIVOTDATA(" Undergrad Contact Hour FTE - Old",'FTE Pivot for regular counts'!$A$2,"State","GA","Category2","Technical")</f>
        <v>0</v>
      </c>
      <c r="Y138" s="32"/>
    </row>
    <row r="139" spans="1:25" ht="15" customHeight="1">
      <c r="A139" s="1" t="s">
        <v>84</v>
      </c>
      <c r="B139" s="32">
        <f>+GETPIVOTDATA(" Undergrad Contact Hour FTE - New",'FTE Pivot for regular counts'!$A$2,"State","KY","Category","7","Category2","Two-Year")</f>
        <v>0</v>
      </c>
      <c r="C139" s="32">
        <f>+GETPIVOTDATA(" Undergrad Contact Hour FTE - New",'FTE Pivot for regular counts'!$A$2,"State","KY","Category","8","Category2","Two-Year")</f>
        <v>0</v>
      </c>
      <c r="D139" s="32">
        <f>+GETPIVOTDATA(" Undergrad Contact Hour FTE - New",'FTE Pivot for regular counts'!$A$2,"State","KY","Category","9","Category2","Two-Year")</f>
        <v>0</v>
      </c>
      <c r="E139" s="32">
        <f>+GETPIVOTDATA(" Undergrad Contact Hour FTE - New",'FTE Pivot for regular counts'!$A$2,"State","KY","Category","10","Category2","Two-Year")</f>
        <v>0</v>
      </c>
      <c r="F139" s="8">
        <f>+GETPIVOTDATA(" Undergrad Contact Hour FTE - New",'FTE Pivot for regular counts'!$A$2,"State","KY","Category2","Two-Year")</f>
        <v>0</v>
      </c>
      <c r="G139" s="32">
        <f>+GETPIVOTDATA(" Undergrad Contact Hour FTE - New",'FTE Pivot for regular counts'!$A$2,"State","KY","Category","12","Category2","Technical")</f>
        <v>0</v>
      </c>
      <c r="H139" s="119">
        <f>+GETPIVOTDATA(" Undergrad Contact Hour FTE - New",'FTE Pivot for regular counts'!$A$2,"State","KY","Category","13","Category2","Technical")</f>
        <v>0</v>
      </c>
      <c r="I139" s="119">
        <f>+GETPIVOTDATA(" Undergrad Contact Hour FTE - New",'FTE Pivot for regular counts'!$A$2,"State","KY","Category2","Technical")</f>
        <v>0</v>
      </c>
      <c r="J139" s="119"/>
      <c r="K139" s="119"/>
      <c r="L139" s="73"/>
      <c r="M139" s="1"/>
      <c r="P139" s="1" t="s">
        <v>84</v>
      </c>
      <c r="Q139" s="32">
        <f>+GETPIVOTDATA(" Undergrad Contact Hour FTE - Old",'FTE Pivot for regular counts'!$A$2,"State","KY","Category","7","Category2","Two-Year")</f>
        <v>0</v>
      </c>
      <c r="R139" s="32">
        <f>+GETPIVOTDATA(" Undergrad Contact Hour FTE - Old",'FTE Pivot for regular counts'!$A$2,"State","KY","Category","8","Category2","Two-Year")</f>
        <v>0</v>
      </c>
      <c r="S139" s="32">
        <f>+GETPIVOTDATA(" Undergrad Contact Hour FTE - Old",'FTE Pivot for regular counts'!$A$2,"State","KY","Category","9","Category2","Two-Year")</f>
        <v>0</v>
      </c>
      <c r="T139" s="32">
        <f>+GETPIVOTDATA(" Undergrad Contact Hour FTE - Old",'FTE Pivot for regular counts'!$A$2,"State","KY","Category","10","Category2","Two-Year")</f>
        <v>0</v>
      </c>
      <c r="U139" s="8">
        <f>+GETPIVOTDATA(" Undergrad Contact Hour FTE - Old",'FTE Pivot for regular counts'!$A$2,"State","KY","Category2","Two-Year")</f>
        <v>0</v>
      </c>
      <c r="V139" s="32">
        <f>+GETPIVOTDATA(" Undergrad Contact Hour FTE - Old",'FTE Pivot for regular counts'!$A$2,"State","KY","Category","12","Category2","Technical")</f>
        <v>0</v>
      </c>
      <c r="W139" s="32">
        <f>+GETPIVOTDATA(" Undergrad Contact Hour FTE - Old",'FTE Pivot for regular counts'!$A$2,"State","KY","Category","13","Category2","Technical")</f>
        <v>0</v>
      </c>
      <c r="X139" s="32">
        <f>+GETPIVOTDATA(" Undergrad Contact Hour FTE - Old",'FTE Pivot for regular counts'!$A$2,"State","KY","Category2","Technical")</f>
        <v>0</v>
      </c>
      <c r="Y139" s="32"/>
    </row>
    <row r="140" spans="1:25" ht="15" customHeight="1">
      <c r="A140" s="1" t="s">
        <v>85</v>
      </c>
      <c r="B140" s="32">
        <f>+GETPIVOTDATA(" Undergrad Contact Hour FTE - New",'FTE Pivot for regular counts'!$A$2,"State","LA","Category","7","Category2","Two-Year")</f>
        <v>0</v>
      </c>
      <c r="C140" s="32">
        <f>+GETPIVOTDATA(" Undergrad Contact Hour FTE - New",'FTE Pivot for regular counts'!$A$2,"State","LA","Category","8","Category2","Two-Year")</f>
        <v>0</v>
      </c>
      <c r="D140" s="32">
        <f>+GETPIVOTDATA(" Undergrad Contact Hour FTE - New",'FTE Pivot for regular counts'!$A$2,"State","LA","Category","9","Category2","Two-Year")</f>
        <v>0</v>
      </c>
      <c r="E140" s="32">
        <f>+GETPIVOTDATA(" Undergrad Contact Hour FTE - New",'FTE Pivot for regular counts'!$A$2,"State","LA","Category","10","Category2","Two-Year")</f>
        <v>0</v>
      </c>
      <c r="F140" s="8">
        <f>+GETPIVOTDATA(" Undergrad Contact Hour FTE - New",'FTE Pivot for regular counts'!$A$2,"State","LA","Category2","Two-Year")</f>
        <v>0</v>
      </c>
      <c r="G140" s="32">
        <f>+GETPIVOTDATA(" Undergrad Contact Hour FTE - New",'FTE Pivot for regular counts'!$A$2,"State","LA","Category","12","Category2","Technical")</f>
        <v>0</v>
      </c>
      <c r="H140" s="119">
        <f>+GETPIVOTDATA(" Undergrad Contact Hour FTE - New",'FTE Pivot for regular counts'!$A$2,"State","LA","Category","13","Category2","Technical")</f>
        <v>0</v>
      </c>
      <c r="I140" s="119">
        <f>+GETPIVOTDATA(" Undergrad Contact Hour FTE - New",'FTE Pivot for regular counts'!$A$2,"State","LA","Category2","Technical")</f>
        <v>0</v>
      </c>
      <c r="J140" s="119"/>
      <c r="K140" s="119"/>
      <c r="L140" s="73"/>
      <c r="M140" s="1"/>
      <c r="P140" s="1" t="s">
        <v>85</v>
      </c>
      <c r="Q140" s="32">
        <f>+GETPIVOTDATA(" Undergrad Contact Hour FTE - Old",'FTE Pivot for regular counts'!$A$2,"State","LA","Category","7","Category2","Two-Year")</f>
        <v>0</v>
      </c>
      <c r="R140" s="32">
        <f>+GETPIVOTDATA(" Undergrad Contact Hour FTE - Old",'FTE Pivot for regular counts'!$A$2,"State","LA","Category","8","Category2","Two-Year")</f>
        <v>0</v>
      </c>
      <c r="S140" s="32">
        <f>+GETPIVOTDATA(" Undergrad Contact Hour FTE - Old",'FTE Pivot for regular counts'!$A$2,"State","LA","Category","9","Category2","Two-Year")</f>
        <v>0</v>
      </c>
      <c r="T140" s="32">
        <f>+GETPIVOTDATA(" Undergrad Contact Hour FTE - Old",'FTE Pivot for regular counts'!$A$2,"State","LA","Category","10","Category2","Two-Year")</f>
        <v>0</v>
      </c>
      <c r="U140" s="8">
        <f>+GETPIVOTDATA(" Undergrad Contact Hour FTE - Old",'FTE Pivot for regular counts'!$A$2,"State","LA","Category2","Two-Year")</f>
        <v>0</v>
      </c>
      <c r="V140" s="32">
        <f>+GETPIVOTDATA(" Undergrad Contact Hour FTE - Old",'FTE Pivot for regular counts'!$A$2,"State","LA","Category","12","Category2","Technical")</f>
        <v>0</v>
      </c>
      <c r="W140" s="32">
        <f>+GETPIVOTDATA(" Undergrad Contact Hour FTE - Old",'FTE Pivot for regular counts'!$A$2,"State","LA","Category","13","Category2","Technical")</f>
        <v>0</v>
      </c>
      <c r="X140" s="32">
        <f>+GETPIVOTDATA(" Undergrad Contact Hour FTE - Old",'FTE Pivot for regular counts'!$A$2,"State","LA","Category2","Technical")</f>
        <v>0</v>
      </c>
      <c r="Y140" s="32"/>
    </row>
    <row r="141" spans="1:25" ht="15" customHeight="1">
      <c r="A141" s="1" t="s">
        <v>86</v>
      </c>
      <c r="B141" s="32">
        <f>+GETPIVOTDATA(" Undergrad Contact Hour FTE - New",'FTE Pivot for regular counts'!$A$2,"State","MD","Category","7","Category2","Two-Year")</f>
        <v>0</v>
      </c>
      <c r="C141" s="32">
        <f>+GETPIVOTDATA(" Undergrad Contact Hour FTE - New",'FTE Pivot for regular counts'!$A$2,"State","MD","Category","8","Category2","Two-Year")</f>
        <v>0</v>
      </c>
      <c r="D141" s="32">
        <f>+GETPIVOTDATA(" Undergrad Contact Hour FTE - New",'FTE Pivot for regular counts'!$A$2,"State","MD","Category","9","Category2","Two-Year")</f>
        <v>0</v>
      </c>
      <c r="E141" s="32">
        <f>+GETPIVOTDATA(" Undergrad Contact Hour FTE - New",'FTE Pivot for regular counts'!$A$2,"State","MD","Category","10","Category2","Two-Year")</f>
        <v>0</v>
      </c>
      <c r="F141" s="8">
        <f>+GETPIVOTDATA(" Undergrad Contact Hour FTE - New",'FTE Pivot for regular counts'!$A$2,"State","MD","Category2","Two-Year")</f>
        <v>0</v>
      </c>
      <c r="G141" s="32">
        <f>+GETPIVOTDATA(" Undergrad Contact Hour FTE - New",'FTE Pivot for regular counts'!$A$2,"State","MD","Category","12","Category2","Technical")</f>
        <v>0</v>
      </c>
      <c r="H141" s="119">
        <f>+GETPIVOTDATA(" Undergrad Contact Hour FTE - New",'FTE Pivot for regular counts'!$A$2,"State","MD","Category","13","Category2","Technical")</f>
        <v>0</v>
      </c>
      <c r="I141" s="119">
        <f>+GETPIVOTDATA(" Undergrad Contact Hour FTE - New",'FTE Pivot for regular counts'!$A$2,"State","MD","Category2","Technical")</f>
        <v>0</v>
      </c>
      <c r="J141" s="119"/>
      <c r="K141" s="119"/>
      <c r="L141" s="73"/>
      <c r="M141" s="1"/>
      <c r="P141" s="1" t="s">
        <v>86</v>
      </c>
      <c r="Q141" s="32">
        <f>+GETPIVOTDATA(" Undergrad Contact Hour FTE - Old",'FTE Pivot for regular counts'!$A$2,"State","MD","Category","7","Category2","Two-Year")</f>
        <v>0</v>
      </c>
      <c r="R141" s="32">
        <f>+GETPIVOTDATA(" Undergrad Contact Hour FTE - Old",'FTE Pivot for regular counts'!$A$2,"State","MD","Category","8","Category2","Two-Year")</f>
        <v>0</v>
      </c>
      <c r="S141" s="32">
        <f>+GETPIVOTDATA(" Undergrad Contact Hour FTE - Old",'FTE Pivot for regular counts'!$A$2,"State","MD","Category","9","Category2","Two-Year")</f>
        <v>0</v>
      </c>
      <c r="T141" s="32">
        <f>+GETPIVOTDATA(" Undergrad Contact Hour FTE - Old",'FTE Pivot for regular counts'!$A$2,"State","MD","Category","10","Category2","Two-Year")</f>
        <v>0</v>
      </c>
      <c r="U141" s="8">
        <f>+GETPIVOTDATA(" Undergrad Contact Hour FTE - Old",'FTE Pivot for regular counts'!$A$2,"State","MD","Category2","Two-Year")</f>
        <v>0</v>
      </c>
      <c r="V141" s="32">
        <f>+GETPIVOTDATA(" Undergrad Contact Hour FTE - Old",'FTE Pivot for regular counts'!$A$2,"State","MD","Category","12","Category2","Technical")</f>
        <v>0</v>
      </c>
      <c r="W141" s="32">
        <f>+GETPIVOTDATA(" Undergrad Contact Hour FTE - Old",'FTE Pivot for regular counts'!$A$2,"State","MD","Category","13","Category2","Technical")</f>
        <v>0</v>
      </c>
      <c r="X141" s="32">
        <f>+GETPIVOTDATA(" Undergrad Contact Hour FTE - Old",'FTE Pivot for regular counts'!$A$2,"State","MD","Category2","Technical")</f>
        <v>0</v>
      </c>
      <c r="Y141" s="32"/>
    </row>
    <row r="142" spans="1:25" ht="15" customHeight="1">
      <c r="B142" s="32">
        <f>+GETPIVOTDATA(" Undergrad Contact Hour FTE - New",'FTE Pivot for regular counts'!$A$2,"State","AL","Category","7","Category2","Two-Year")</f>
        <v>0</v>
      </c>
      <c r="C142" s="32">
        <f>+GETPIVOTDATA(" Undergrad Contact Hour FTE - New",'FTE Pivot for regular counts'!$A$2,"State","AL","Category","8","Category2","Two-Year")</f>
        <v>0</v>
      </c>
      <c r="D142" s="32">
        <f>+GETPIVOTDATA(" Undergrad Contact Hour FTE - New",'FTE Pivot for regular counts'!$A$2,"State","AL","Category","9","Category2","Two-Year")</f>
        <v>0</v>
      </c>
      <c r="E142" s="32">
        <f>+GETPIVOTDATA(" Undergrad Contact Hour FTE - New",'FTE Pivot for regular counts'!$A$2,"State","AL","Category","10","Category2","Two-Year")</f>
        <v>0</v>
      </c>
      <c r="F142" s="8">
        <f>+GETPIVOTDATA(" Undergrad Contact Hour FTE - New",'FTE Pivot for regular counts'!$A$2,"State","AL","Category2","Two-Year")</f>
        <v>0</v>
      </c>
      <c r="G142" s="32">
        <f>+GETPIVOTDATA(" Undergrad Contact Hour FTE - New",'FTE Pivot for regular counts'!$A$2,"State","AL","Category","12","Category2","Technical")</f>
        <v>0</v>
      </c>
      <c r="H142" s="119">
        <f>+GETPIVOTDATA(" Undergrad Contact Hour FTE - New",'FTE Pivot for regular counts'!$A$2,"State","AL","Category","13","Category2","Technical")</f>
        <v>0</v>
      </c>
      <c r="I142" s="119">
        <f>+GETPIVOTDATA(" Undergrad Contact Hour FTE - New",'FTE Pivot for regular counts'!$A$2,"State","AL","Category2","Technical")</f>
        <v>0</v>
      </c>
      <c r="J142" s="119"/>
      <c r="K142" s="119"/>
      <c r="L142" s="73"/>
      <c r="M142" s="1"/>
      <c r="Q142" s="32"/>
      <c r="R142" s="32"/>
      <c r="S142" s="32"/>
      <c r="T142" s="32"/>
      <c r="U142" s="8"/>
      <c r="V142" s="32"/>
      <c r="W142" s="32"/>
      <c r="X142" s="32"/>
      <c r="Y142" s="32"/>
    </row>
    <row r="143" spans="1:25" ht="15" customHeight="1">
      <c r="A143" s="1" t="s">
        <v>87</v>
      </c>
      <c r="B143" s="32">
        <f>+GETPIVOTDATA(" Undergrad Contact Hour FTE - New",'FTE Pivot for regular counts'!$A$2,"State","MS","Category","7","Category2","Two-Year")</f>
        <v>0</v>
      </c>
      <c r="C143" s="32">
        <f>+GETPIVOTDATA(" Undergrad Contact Hour FTE - New",'FTE Pivot for regular counts'!$A$2,"State","MS","Category","8","Category2","Two-Year")</f>
        <v>0</v>
      </c>
      <c r="D143" s="32">
        <f>+GETPIVOTDATA(" Undergrad Contact Hour FTE - New",'FTE Pivot for regular counts'!$A$2,"State","MS","Category","9","Category2","Two-Year")</f>
        <v>0</v>
      </c>
      <c r="E143" s="32">
        <f>+GETPIVOTDATA(" Undergrad Contact Hour FTE - New",'FTE Pivot for regular counts'!$A$2,"State","MS","Category","10","Category2","Two-Year")</f>
        <v>0</v>
      </c>
      <c r="F143" s="8">
        <f>+GETPIVOTDATA(" Undergrad Contact Hour FTE - New",'FTE Pivot for regular counts'!$A$2,"State","MS","Category2","Two-Year")</f>
        <v>0</v>
      </c>
      <c r="G143" s="32">
        <f>+GETPIVOTDATA(" Undergrad Contact Hour FTE - New",'FTE Pivot for regular counts'!$A$2,"State","MS","Category","12","Category2","Technical")</f>
        <v>0</v>
      </c>
      <c r="H143" s="119">
        <f>+GETPIVOTDATA(" Undergrad Contact Hour FTE - New",'FTE Pivot for regular counts'!$A$2,"State","MS","Category","13","Category2","Technical")</f>
        <v>0</v>
      </c>
      <c r="I143" s="119">
        <f>+GETPIVOTDATA(" Undergrad Contact Hour FTE - New",'FTE Pivot for regular counts'!$A$2,"State","MS","Category2","Technical")</f>
        <v>0</v>
      </c>
      <c r="J143" s="119"/>
      <c r="K143" s="119"/>
      <c r="L143" s="73"/>
      <c r="M143" s="1"/>
      <c r="P143" s="1" t="s">
        <v>87</v>
      </c>
      <c r="Q143" s="32">
        <f>+GETPIVOTDATA(" Undergrad Contact Hour FTE - Old",'FTE Pivot for regular counts'!$A$2,"State","MS","Category","7","Category2","Two-Year")</f>
        <v>0</v>
      </c>
      <c r="R143" s="32">
        <f>+GETPIVOTDATA(" Undergrad Contact Hour FTE - Old",'FTE Pivot for regular counts'!$A$2,"State","MS","Category","8","Category2","Two-Year")</f>
        <v>0</v>
      </c>
      <c r="S143" s="32">
        <f>+GETPIVOTDATA(" Undergrad Contact Hour FTE - Old",'FTE Pivot for regular counts'!$A$2,"State","MS","Category","9","Category2","Two-Year")</f>
        <v>0</v>
      </c>
      <c r="T143" s="32">
        <f>+GETPIVOTDATA(" Undergrad Contact Hour FTE - Old",'FTE Pivot for regular counts'!$A$2,"State","MS","Category","10","Category2","Two-Year")</f>
        <v>0</v>
      </c>
      <c r="U143" s="8">
        <f>+GETPIVOTDATA(" Undergrad Contact Hour FTE - Old",'FTE Pivot for regular counts'!$A$2,"State","MS","Category2","Two-Year")</f>
        <v>0</v>
      </c>
      <c r="V143" s="32">
        <f>+GETPIVOTDATA(" Undergrad Contact Hour FTE - Old",'FTE Pivot for regular counts'!$A$2,"State","MS","Category","12","Category2","Technical")</f>
        <v>0</v>
      </c>
      <c r="W143" s="32">
        <f>+GETPIVOTDATA(" Undergrad Contact Hour FTE - Old",'FTE Pivot for regular counts'!$A$2,"State","MS","Category","13","Category2","Technical")</f>
        <v>0</v>
      </c>
      <c r="X143" s="32">
        <f>+GETPIVOTDATA(" Undergrad Contact Hour FTE - Old",'FTE Pivot for regular counts'!$A$2,"State","MS","Category2","Technical")</f>
        <v>0</v>
      </c>
      <c r="Y143" s="32"/>
    </row>
    <row r="144" spans="1:25" ht="15" customHeight="1">
      <c r="A144" s="1" t="s">
        <v>88</v>
      </c>
      <c r="B144" s="32">
        <f>+GETPIVOTDATA(" Undergrad Contact Hour FTE - New",'FTE Pivot for regular counts'!$A$2,"State","NC","Category","7","Category2","Two-Year")</f>
        <v>0</v>
      </c>
      <c r="C144" s="32">
        <f>+GETPIVOTDATA(" Undergrad Contact Hour FTE - New",'FTE Pivot for regular counts'!$A$2,"State","NC","Category","8","Category2","Two-Year")</f>
        <v>0</v>
      </c>
      <c r="D144" s="32">
        <f>+GETPIVOTDATA(" Undergrad Contact Hour FTE - New",'FTE Pivot for regular counts'!$A$2,"State","NC","Category","9","Category2","Two-Year")</f>
        <v>0</v>
      </c>
      <c r="E144" s="32">
        <f>+GETPIVOTDATA(" Undergrad Contact Hour FTE - New",'FTE Pivot for regular counts'!$A$2,"State","NC","Category","10","Category2","Two-Year")</f>
        <v>0</v>
      </c>
      <c r="F144" s="8">
        <f>+GETPIVOTDATA(" Undergrad Contact Hour FTE - New",'FTE Pivot for regular counts'!$A$2,"State","NC","Category2","Two-Year")</f>
        <v>0</v>
      </c>
      <c r="G144" s="32">
        <f>+GETPIVOTDATA(" Undergrad Contact Hour FTE - New",'FTE Pivot for regular counts'!$A$2,"State","NC","Category","12","Category2","Technical")</f>
        <v>0</v>
      </c>
      <c r="H144" s="119">
        <f>+GETPIVOTDATA(" Undergrad Contact Hour FTE - New",'FTE Pivot for regular counts'!$A$2,"State","NC","Category","13","Category2","Technical")</f>
        <v>0</v>
      </c>
      <c r="I144" s="119">
        <f>+GETPIVOTDATA(" Undergrad Contact Hour FTE - New",'FTE Pivot for regular counts'!$A$2,"State","NC","Category2","Technical")</f>
        <v>0</v>
      </c>
      <c r="J144" s="119"/>
      <c r="K144" s="119"/>
      <c r="L144" s="73"/>
      <c r="M144" s="1"/>
      <c r="P144" s="1" t="s">
        <v>88</v>
      </c>
      <c r="Q144" s="32">
        <f>+GETPIVOTDATA(" Undergrad Contact Hour FTE - Old",'FTE Pivot for regular counts'!$A$2,"State","NC","Category","7","Category2","Two-Year")</f>
        <v>0</v>
      </c>
      <c r="R144" s="32">
        <f>+GETPIVOTDATA(" Undergrad Contact Hour FTE - Old",'FTE Pivot for regular counts'!$A$2,"State","NC","Category","8","Category2","Two-Year")</f>
        <v>0</v>
      </c>
      <c r="S144" s="32">
        <f>+GETPIVOTDATA(" Undergrad Contact Hour FTE - Old",'FTE Pivot for regular counts'!$A$2,"State","NC","Category","9","Category2","Two-Year")</f>
        <v>0</v>
      </c>
      <c r="T144" s="32">
        <f>+GETPIVOTDATA(" Undergrad Contact Hour FTE - Old",'FTE Pivot for regular counts'!$A$2,"State","NC","Category","10","Category2","Two-Year")</f>
        <v>0</v>
      </c>
      <c r="U144" s="8">
        <f>+GETPIVOTDATA(" Undergrad Contact Hour FTE - Old",'FTE Pivot for regular counts'!$A$2,"State","NC","Category2","Two-Year")</f>
        <v>0</v>
      </c>
      <c r="V144" s="32">
        <f>+GETPIVOTDATA(" Undergrad Contact Hour FTE - Old",'FTE Pivot for regular counts'!$A$2,"State","NC","Category","12","Category2","Technical")</f>
        <v>0</v>
      </c>
      <c r="W144" s="32">
        <f>+GETPIVOTDATA(" Undergrad Contact Hour FTE - Old",'FTE Pivot for regular counts'!$A$2,"State","NC","Category","13","Category2","Technical")</f>
        <v>0</v>
      </c>
      <c r="X144" s="32">
        <f>+GETPIVOTDATA(" Undergrad Contact Hour FTE - Old",'FTE Pivot for regular counts'!$A$2,"State","NC","Category2","Technical")</f>
        <v>0</v>
      </c>
      <c r="Y144" s="32"/>
    </row>
    <row r="145" spans="1:88" ht="15" customHeight="1">
      <c r="A145" s="1" t="s">
        <v>89</v>
      </c>
      <c r="B145" s="32">
        <f>+GETPIVOTDATA(" Undergrad Contact Hour FTE - New",'FTE Pivot for regular counts'!$A$2,"State","OK","Category","7","Category2","Two-Year")</f>
        <v>0</v>
      </c>
      <c r="C145" s="32">
        <f>+GETPIVOTDATA(" Undergrad Contact Hour FTE - New",'FTE Pivot for regular counts'!$A$2,"State","OK","Category","8","Category2","Two-Year")</f>
        <v>0</v>
      </c>
      <c r="D145" s="32">
        <f>+GETPIVOTDATA(" Undergrad Contact Hour FTE - New",'FTE Pivot for regular counts'!$A$2,"State","OK","Category","9","Category2","Two-Year")</f>
        <v>0</v>
      </c>
      <c r="E145" s="32">
        <f>+GETPIVOTDATA(" Undergrad Contact Hour FTE - New",'FTE Pivot for regular counts'!$A$2,"State","OK","Category","10","Category2","Two-Year")</f>
        <v>0</v>
      </c>
      <c r="F145" s="8">
        <f>+GETPIVOTDATA(" Undergrad Contact Hour FTE - New",'FTE Pivot for regular counts'!$A$2,"State","OK","Category2","Two-Year")</f>
        <v>0</v>
      </c>
      <c r="G145" s="32">
        <f>+GETPIVOTDATA(" Undergrad Contact Hour FTE - New",'FTE Pivot for regular counts'!$A$2,"State","OK","Category","12","Category2","Technical")</f>
        <v>4304.7606777777773</v>
      </c>
      <c r="H145" s="119">
        <f>+GETPIVOTDATA(" Undergrad Contact Hour FTE - New",'FTE Pivot for regular counts'!$A$2,"State","OK","Category","13","Category2","Technical")</f>
        <v>16254.157633333331</v>
      </c>
      <c r="I145" s="119">
        <f>+GETPIVOTDATA(" Undergrad Contact Hour FTE - New",'FTE Pivot for regular counts'!$A$2,"State","OK","Category2","Technical")</f>
        <v>20558.918311111109</v>
      </c>
      <c r="J145" s="119"/>
      <c r="K145" s="119"/>
      <c r="L145" s="73"/>
      <c r="M145" s="1"/>
      <c r="P145" s="1" t="s">
        <v>89</v>
      </c>
      <c r="Q145" s="32">
        <f>+GETPIVOTDATA(" Undergrad Contact Hour FTE - Old",'FTE Pivot for regular counts'!$A$2,"State","OK","Category","7","Category2","Two-Year")</f>
        <v>0</v>
      </c>
      <c r="R145" s="32">
        <f>+GETPIVOTDATA(" Undergrad Contact Hour FTE - Old",'FTE Pivot for regular counts'!$A$2,"State","OK","Category","8","Category2","Two-Year")</f>
        <v>0</v>
      </c>
      <c r="S145" s="32">
        <f>+GETPIVOTDATA(" Undergrad Contact Hour FTE - Old",'FTE Pivot for regular counts'!$A$2,"State","OK","Category","9","Category2","Two-Year")</f>
        <v>0</v>
      </c>
      <c r="T145" s="32">
        <f>+GETPIVOTDATA(" Undergrad Contact Hour FTE - Old",'FTE Pivot for regular counts'!$A$2,"State","OK","Category","10","Category2","Two-Year")</f>
        <v>0</v>
      </c>
      <c r="U145" s="8">
        <f>+GETPIVOTDATA(" Undergrad Contact Hour FTE - Old",'FTE Pivot for regular counts'!$A$2,"State","OK","Category2","Two-Year")</f>
        <v>0</v>
      </c>
      <c r="V145" s="32">
        <f>+GETPIVOTDATA(" Undergrad Contact Hour FTE - Old",'FTE Pivot for regular counts'!$A$2,"State","OK","Category","12","Category2","Technical")</f>
        <v>4723.4119777777778</v>
      </c>
      <c r="W145" s="32">
        <f>+GETPIVOTDATA(" Undergrad Contact Hour FTE - Old",'FTE Pivot for regular counts'!$A$2,"State","OK","Category","13","Category2","Technical")</f>
        <v>16921.855233333339</v>
      </c>
      <c r="X145" s="32">
        <f>+GETPIVOTDATA(" Undergrad Contact Hour FTE - Old",'FTE Pivot for regular counts'!$A$2,"State","OK","Category2","Technical")</f>
        <v>21645.267211111117</v>
      </c>
      <c r="Y145" s="32"/>
    </row>
    <row r="146" spans="1:88" ht="15" customHeight="1">
      <c r="A146" s="1" t="s">
        <v>90</v>
      </c>
      <c r="B146" s="32">
        <f>+GETPIVOTDATA(" Undergrad Contact Hour FTE - New",'FTE Pivot for regular counts'!$A$2,"State","SC","Category","7","Category2","Two-Year")</f>
        <v>0</v>
      </c>
      <c r="C146" s="32">
        <f>+GETPIVOTDATA(" Undergrad Contact Hour FTE - New",'FTE Pivot for regular counts'!$A$2,"State","SC","Category","8","Category2","Two-Year")</f>
        <v>0</v>
      </c>
      <c r="D146" s="32">
        <f>+GETPIVOTDATA(" Undergrad Contact Hour FTE - New",'FTE Pivot for regular counts'!$A$2,"State","SC","Category","9","Category2","Two-Year")</f>
        <v>0</v>
      </c>
      <c r="E146" s="32">
        <f>+GETPIVOTDATA(" Undergrad Contact Hour FTE - New",'FTE Pivot for regular counts'!$A$2,"State","SC","Category","10","Category2","Two-Year")</f>
        <v>0</v>
      </c>
      <c r="F146" s="8">
        <f>+GETPIVOTDATA(" Undergrad Contact Hour FTE - New",'FTE Pivot for regular counts'!$A$2,"State","SC","Category2","Two-Year")</f>
        <v>0</v>
      </c>
      <c r="G146" s="32">
        <f>+GETPIVOTDATA(" Undergrad Contact Hour FTE - New",'FTE Pivot for regular counts'!$A$2,"State","SC","Category","12","Category2","Technical")</f>
        <v>0</v>
      </c>
      <c r="H146" s="119">
        <f>+GETPIVOTDATA(" Undergrad Contact Hour FTE - New",'FTE Pivot for regular counts'!$A$2,"State","SC","Category","13","Category2","Technical")</f>
        <v>0</v>
      </c>
      <c r="I146" s="119">
        <f>+GETPIVOTDATA(" Undergrad Contact Hour FTE - New",'FTE Pivot for regular counts'!$A$2,"State","SC","Category2","Technical")</f>
        <v>0</v>
      </c>
      <c r="J146" s="119"/>
      <c r="K146" s="119"/>
      <c r="L146" s="73"/>
      <c r="M146" s="1"/>
      <c r="P146" s="1" t="s">
        <v>90</v>
      </c>
      <c r="Q146" s="32">
        <f>+GETPIVOTDATA(" Undergrad Contact Hour FTE - Old",'FTE Pivot for regular counts'!$A$2,"State","SC","Category","7","Category2","Two-Year")</f>
        <v>0</v>
      </c>
      <c r="R146" s="32">
        <f>+GETPIVOTDATA(" Undergrad Contact Hour FTE - Old",'FTE Pivot for regular counts'!$A$2,"State","SC","Category","8","Category2","Two-Year")</f>
        <v>0</v>
      </c>
      <c r="S146" s="32">
        <f>+GETPIVOTDATA(" Undergrad Contact Hour FTE - Old",'FTE Pivot for regular counts'!$A$2,"State","SC","Category","9","Category2","Two-Year")</f>
        <v>0</v>
      </c>
      <c r="T146" s="32">
        <f>+GETPIVOTDATA(" Undergrad Contact Hour FTE - Old",'FTE Pivot for regular counts'!$A$2,"State","SC","Category","10","Category2","Two-Year")</f>
        <v>0</v>
      </c>
      <c r="U146" s="8">
        <f>+GETPIVOTDATA(" Undergrad Contact Hour FTE - Old",'FTE Pivot for regular counts'!$A$2,"State","SC","Category2","Two-Year")</f>
        <v>0</v>
      </c>
      <c r="V146" s="32">
        <f>+GETPIVOTDATA(" Undergrad Contact Hour FTE - Old",'FTE Pivot for regular counts'!$A$2,"State","SC","Category","12","Category2","Technical")</f>
        <v>0</v>
      </c>
      <c r="W146" s="32">
        <f>+GETPIVOTDATA(" Undergrad Contact Hour FTE - Old",'FTE Pivot for regular counts'!$A$2,"State","SC","Category","13","Category2","Technical")</f>
        <v>0</v>
      </c>
      <c r="X146" s="32">
        <f>+GETPIVOTDATA(" Undergrad Contact Hour FTE - Old",'FTE Pivot for regular counts'!$A$2,"State","SC","Category2","Technical")</f>
        <v>0</v>
      </c>
      <c r="Y146" s="32"/>
    </row>
    <row r="147" spans="1:88" ht="15" customHeight="1">
      <c r="B147" s="32">
        <f>+GETPIVOTDATA(" Undergrad Contact Hour FTE - New",'FTE Pivot for regular counts'!$A$2,"State","AL","Category","7","Category2","Two-Year")</f>
        <v>0</v>
      </c>
      <c r="C147" s="32">
        <f>+GETPIVOTDATA(" Undergrad Contact Hour FTE - New",'FTE Pivot for regular counts'!$A$2,"State","AL","Category","8","Category2","Two-Year")</f>
        <v>0</v>
      </c>
      <c r="D147" s="32">
        <f>+GETPIVOTDATA(" Undergrad Contact Hour FTE - New",'FTE Pivot for regular counts'!$A$2,"State","AL","Category","9","Category2","Two-Year")</f>
        <v>0</v>
      </c>
      <c r="E147" s="32">
        <f>+GETPIVOTDATA(" Undergrad Contact Hour FTE - New",'FTE Pivot for regular counts'!$A$2,"State","AL","Category","10","Category2","Two-Year")</f>
        <v>0</v>
      </c>
      <c r="F147" s="8">
        <f>+GETPIVOTDATA(" Undergrad Contact Hour FTE - New",'FTE Pivot for regular counts'!$A$2,"State","AL","Category2","Two-Year")</f>
        <v>0</v>
      </c>
      <c r="G147" s="32">
        <f>+GETPIVOTDATA(" Undergrad Contact Hour FTE - New",'FTE Pivot for regular counts'!$A$2,"State","AL","Category","12","Category2","Technical")</f>
        <v>0</v>
      </c>
      <c r="H147" s="119">
        <f>+GETPIVOTDATA(" Undergrad Contact Hour FTE - New",'FTE Pivot for regular counts'!$A$2,"State","AL","Category","13","Category2","Technical")</f>
        <v>0</v>
      </c>
      <c r="I147" s="119">
        <f>+GETPIVOTDATA(" Undergrad Contact Hour FTE - New",'FTE Pivot for regular counts'!$A$2,"State","AL","Category2","Technical")</f>
        <v>0</v>
      </c>
      <c r="J147" s="119"/>
      <c r="K147" s="119"/>
      <c r="L147" s="73"/>
      <c r="M147" s="1"/>
      <c r="Q147" s="32"/>
      <c r="R147" s="32"/>
      <c r="S147" s="32"/>
      <c r="T147" s="32"/>
      <c r="U147" s="8"/>
      <c r="V147" s="32"/>
      <c r="W147" s="32"/>
      <c r="X147" s="32"/>
      <c r="Y147" s="32"/>
    </row>
    <row r="148" spans="1:88" ht="15" customHeight="1">
      <c r="A148" s="1" t="s">
        <v>91</v>
      </c>
      <c r="B148" s="32">
        <f>+GETPIVOTDATA(" Undergrad Contact Hour FTE - New",'FTE Pivot for regular counts'!$A$2,"State","TN","Category","7","Category2","Two-Year")</f>
        <v>0</v>
      </c>
      <c r="C148" s="32">
        <f>+GETPIVOTDATA(" Undergrad Contact Hour FTE - New",'FTE Pivot for regular counts'!$A$2,"State","TN","Category","8","Category2","Two-Year")</f>
        <v>0</v>
      </c>
      <c r="D148" s="32">
        <f>+GETPIVOTDATA(" Undergrad Contact Hour FTE - New",'FTE Pivot for regular counts'!$A$2,"State","TN","Category","9","Category2","Two-Year")</f>
        <v>0</v>
      </c>
      <c r="E148" s="32">
        <f>+GETPIVOTDATA(" Undergrad Contact Hour FTE - New",'FTE Pivot for regular counts'!$A$2,"State","TN","Category","10","Category2","Two-Year")</f>
        <v>0</v>
      </c>
      <c r="F148" s="8">
        <f>+GETPIVOTDATA(" Undergrad Contact Hour FTE - New",'FTE Pivot for regular counts'!$A$2,"State","TN","Category2","Two-Year")</f>
        <v>0</v>
      </c>
      <c r="G148" s="32">
        <f>+GETPIVOTDATA(" Undergrad Contact Hour FTE - New",'FTE Pivot for regular counts'!$A$2,"State","TN","Category","12","Category2","Technical")</f>
        <v>0</v>
      </c>
      <c r="H148" s="119">
        <f>+GETPIVOTDATA(" Undergrad Contact Hour FTE - New",'FTE Pivot for regular counts'!$A$2,"State","TN","Category","13","Category2","Technical")</f>
        <v>15336.976666666666</v>
      </c>
      <c r="I148" s="119">
        <f>+GETPIVOTDATA(" Undergrad Contact Hour FTE - New",'FTE Pivot for regular counts'!$A$2,"State","TN","Category2","Technical")</f>
        <v>15336.976666666666</v>
      </c>
      <c r="J148" s="119"/>
      <c r="K148" s="119"/>
      <c r="L148" s="73"/>
      <c r="M148" s="1"/>
      <c r="P148" s="1" t="s">
        <v>91</v>
      </c>
      <c r="Q148" s="32">
        <f>+GETPIVOTDATA(" Undergrad Contact Hour FTE - Old",'FTE Pivot for regular counts'!$A$2,"State","TN","Category","7","Category2","Two-Year")</f>
        <v>0</v>
      </c>
      <c r="R148" s="32">
        <f>+GETPIVOTDATA(" Undergrad Contact Hour FTE - Old",'FTE Pivot for regular counts'!$A$2,"State","TN","Category","8","Category2","Two-Year")</f>
        <v>0</v>
      </c>
      <c r="S148" s="32">
        <f>+GETPIVOTDATA(" Undergrad Contact Hour FTE - Old",'FTE Pivot for regular counts'!$A$2,"State","TN","Category","9","Category2","Two-Year")</f>
        <v>0</v>
      </c>
      <c r="T148" s="32">
        <f>+GETPIVOTDATA(" Undergrad Contact Hour FTE - Old",'FTE Pivot for regular counts'!$A$2,"State","TN","Category","10","Category2","Two-Year")</f>
        <v>0</v>
      </c>
      <c r="U148" s="8">
        <f>+GETPIVOTDATA(" Undergrad Contact Hour FTE - Old",'FTE Pivot for regular counts'!$A$2,"State","TN","Category2","Two-Year")</f>
        <v>0</v>
      </c>
      <c r="V148" s="32">
        <f>+GETPIVOTDATA(" Undergrad Contact Hour FTE - Old",'FTE Pivot for regular counts'!$A$2,"State","TN","Category","12","Category2","Technical")</f>
        <v>0</v>
      </c>
      <c r="W148" s="32">
        <f>+GETPIVOTDATA(" Undergrad Contact Hour FTE - Old",'FTE Pivot for regular counts'!$A$2,"State","TN","Category","13","Category2","Technical")</f>
        <v>13277.441111111108</v>
      </c>
      <c r="X148" s="32">
        <f>+GETPIVOTDATA(" Undergrad Contact Hour FTE - Old",'FTE Pivot for regular counts'!$A$2,"State","TN","Category2","Technical")</f>
        <v>13277.441111111108</v>
      </c>
      <c r="Y148" s="32"/>
    </row>
    <row r="149" spans="1:88" ht="15" customHeight="1">
      <c r="A149" s="1" t="s">
        <v>92</v>
      </c>
      <c r="B149" s="32">
        <f>+GETPIVOTDATA(" Undergrad Contact Hour FTE - New",'FTE Pivot for regular counts'!$A$2,"State","TX","Category","7","Category2","Two-Year")</f>
        <v>470.8944444444445</v>
      </c>
      <c r="C149" s="32">
        <f>+GETPIVOTDATA(" Undergrad Contact Hour FTE - New",'FTE Pivot for regular counts'!$A$2,"State","TX","Category","8","Category2","Two-Year")</f>
        <v>13117.441111111111</v>
      </c>
      <c r="D149" s="32">
        <f>+GETPIVOTDATA(" Undergrad Contact Hour FTE - New",'FTE Pivot for regular counts'!$A$2,"State","TX","Category","9","Category2","Two-Year")</f>
        <v>4603.4433333333336</v>
      </c>
      <c r="E149" s="32">
        <f>+GETPIVOTDATA(" Undergrad Contact Hour FTE - New",'FTE Pivot for regular counts'!$A$2,"State","TX","Category","10","Category2","Two-Year")</f>
        <v>866.83</v>
      </c>
      <c r="F149" s="8">
        <f>+GETPIVOTDATA(" Undergrad Contact Hour FTE - New",'FTE Pivot for regular counts'!$A$2,"State","TX","Category2","Two-Year")</f>
        <v>19058.608888888892</v>
      </c>
      <c r="G149" s="32">
        <f>+GETPIVOTDATA(" Undergrad Contact Hour FTE - New",'FTE Pivot for regular counts'!$A$2,"State","TX","Category","12","Category2","Technical")</f>
        <v>0</v>
      </c>
      <c r="H149" s="119">
        <f>+GETPIVOTDATA(" Undergrad Contact Hour FTE - New",'FTE Pivot for regular counts'!$A$2,"State","TX","Category","13","Category2","Technical")</f>
        <v>0</v>
      </c>
      <c r="I149" s="119">
        <f>+GETPIVOTDATA(" Undergrad Contact Hour FTE - New",'FTE Pivot for regular counts'!$A$2,"State","TX","Category2","Technical")</f>
        <v>0</v>
      </c>
      <c r="J149" s="119"/>
      <c r="K149" s="119"/>
      <c r="L149" s="73"/>
      <c r="M149" s="1"/>
      <c r="P149" s="1" t="s">
        <v>92</v>
      </c>
      <c r="Q149" s="32">
        <f>+GETPIVOTDATA(" Undergrad Contact Hour FTE - Old",'FTE Pivot for regular counts'!$A$2,"State","TX","Category","7","Category2","Two-Year")</f>
        <v>544.48222222222216</v>
      </c>
      <c r="R149" s="32">
        <f>+GETPIVOTDATA(" Undergrad Contact Hour FTE - Old",'FTE Pivot for regular counts'!$A$2,"State","TX","Category","8","Category2","Two-Year")</f>
        <v>15006.622222222222</v>
      </c>
      <c r="S149" s="32">
        <f>+GETPIVOTDATA(" Undergrad Contact Hour FTE - Old",'FTE Pivot for regular counts'!$A$2,"State","TX","Category","9","Category2","Two-Year")</f>
        <v>5181.8466666666664</v>
      </c>
      <c r="T149" s="32">
        <f>+GETPIVOTDATA(" Undergrad Contact Hour FTE - Old",'FTE Pivot for regular counts'!$A$2,"State","TX","Category","10","Category2","Two-Year")</f>
        <v>904.23222222222216</v>
      </c>
      <c r="U149" s="8">
        <f>+GETPIVOTDATA(" Undergrad Contact Hour FTE - Old",'FTE Pivot for regular counts'!$A$2,"State","TX","Category2","Two-Year")</f>
        <v>21637.183333333334</v>
      </c>
      <c r="V149" s="32">
        <f>+GETPIVOTDATA(" Undergrad Contact Hour FTE - Old",'FTE Pivot for regular counts'!$A$2,"State","TX","Category","12","Category2","Technical")</f>
        <v>0</v>
      </c>
      <c r="W149" s="32">
        <f>+GETPIVOTDATA(" Undergrad Contact Hour FTE - Old",'FTE Pivot for regular counts'!$A$2,"State","TX","Category","13","Category2","Technical")</f>
        <v>0</v>
      </c>
      <c r="X149" s="32">
        <f>+GETPIVOTDATA(" Undergrad Contact Hour FTE - Old",'FTE Pivot for regular counts'!$A$2,"State","TX","Category2","Technical")</f>
        <v>0</v>
      </c>
      <c r="Y149" s="32"/>
    </row>
    <row r="150" spans="1:88" ht="15" customHeight="1">
      <c r="A150" s="1" t="s">
        <v>93</v>
      </c>
      <c r="B150" s="32">
        <f>+GETPIVOTDATA(" Undergrad Contact Hour FTE - New",'FTE Pivot for regular counts'!$A$2,"State","VA","Category","7","Category2","Two-Year")</f>
        <v>0</v>
      </c>
      <c r="C150" s="32">
        <f>+GETPIVOTDATA(" Undergrad Contact Hour FTE - New",'FTE Pivot for regular counts'!$A$2,"State","VA","Category","8","Category2","Two-Year")</f>
        <v>0</v>
      </c>
      <c r="D150" s="32">
        <f>+GETPIVOTDATA(" Undergrad Contact Hour FTE - New",'FTE Pivot for regular counts'!$A$2,"State","VA","Category","9","Category2","Two-Year")</f>
        <v>0</v>
      </c>
      <c r="E150" s="32">
        <f>+GETPIVOTDATA(" Undergrad Contact Hour FTE - New",'FTE Pivot for regular counts'!$A$2,"State","VA","Category","10","Category2","Two-Year")</f>
        <v>0</v>
      </c>
      <c r="F150" s="8">
        <f>+GETPIVOTDATA(" Undergrad Contact Hour FTE - New",'FTE Pivot for regular counts'!$A$2,"State","VA","Category2","Two-Year")</f>
        <v>0</v>
      </c>
      <c r="G150" s="32">
        <f>+GETPIVOTDATA(" Undergrad Contact Hour FTE - New",'FTE Pivot for regular counts'!$A$2,"State","VA","Category","12","Category2","Technical")</f>
        <v>0</v>
      </c>
      <c r="H150" s="119">
        <f>+GETPIVOTDATA(" Undergrad Contact Hour FTE - New",'FTE Pivot for regular counts'!$A$2,"State","VA","Category","13","Category2","Technical")</f>
        <v>0</v>
      </c>
      <c r="I150" s="119">
        <f>+GETPIVOTDATA(" Undergrad Contact Hour FTE - New",'FTE Pivot for regular counts'!$A$2,"State","VA","Category2","Technical")</f>
        <v>0</v>
      </c>
      <c r="J150" s="119"/>
      <c r="K150" s="119"/>
      <c r="L150" s="73"/>
      <c r="M150" s="1"/>
      <c r="P150" s="1" t="s">
        <v>93</v>
      </c>
      <c r="Q150" s="32">
        <f>+GETPIVOTDATA(" Undergrad Contact Hour FTE - Old",'FTE Pivot for regular counts'!$A$2,"State","VA","Category","7","Category2","Two-Year")</f>
        <v>0</v>
      </c>
      <c r="R150" s="32">
        <f>+GETPIVOTDATA(" Undergrad Contact Hour FTE - Old",'FTE Pivot for regular counts'!$A$2,"State","VA","Category","8","Category2","Two-Year")</f>
        <v>0</v>
      </c>
      <c r="S150" s="32">
        <f>+GETPIVOTDATA(" Undergrad Contact Hour FTE - Old",'FTE Pivot for regular counts'!$A$2,"State","VA","Category","9","Category2","Two-Year")</f>
        <v>0</v>
      </c>
      <c r="T150" s="32">
        <f>+GETPIVOTDATA(" Undergrad Contact Hour FTE - Old",'FTE Pivot for regular counts'!$A$2,"State","VA","Category","10","Category2","Two-Year")</f>
        <v>0</v>
      </c>
      <c r="U150" s="8">
        <f>+GETPIVOTDATA(" Undergrad Contact Hour FTE - Old",'FTE Pivot for regular counts'!$A$2,"State","VA","Category2","Two-Year")</f>
        <v>0</v>
      </c>
      <c r="V150" s="32">
        <f>+GETPIVOTDATA(" Undergrad Contact Hour FTE - Old",'FTE Pivot for regular counts'!$A$2,"State","VA","Category","12","Category2","Technical")</f>
        <v>0</v>
      </c>
      <c r="W150" s="32">
        <f>+GETPIVOTDATA(" Undergrad Contact Hour FTE - Old",'FTE Pivot for regular counts'!$A$2,"State","VA","Category","13","Category2","Technical")</f>
        <v>0</v>
      </c>
      <c r="X150" s="32">
        <f>+GETPIVOTDATA(" Undergrad Contact Hour FTE - Old",'FTE Pivot for regular counts'!$A$2,"State","VA","Category2","Technical")</f>
        <v>0</v>
      </c>
      <c r="Y150" s="32"/>
    </row>
    <row r="151" spans="1:88" ht="15" customHeight="1">
      <c r="A151" s="3" t="s">
        <v>94</v>
      </c>
      <c r="B151" s="9">
        <f>+GETPIVOTDATA(" Undergrad Contact Hour FTE - New",'FTE Pivot for regular counts'!$A$2,"State","WV","Category","7","Category2","Two-Year")</f>
        <v>0</v>
      </c>
      <c r="C151" s="9">
        <f>+GETPIVOTDATA(" Undergrad Contact Hour FTE - New",'FTE Pivot for regular counts'!$A$2,"State","WV","Category","8","Category2","Two-Year")</f>
        <v>0</v>
      </c>
      <c r="D151" s="9">
        <f>+GETPIVOTDATA(" Undergrad Contact Hour FTE - New",'FTE Pivot for regular counts'!$A$2,"State","WV","Category","9","Category2","Two-Year")</f>
        <v>0</v>
      </c>
      <c r="E151" s="9">
        <f>+GETPIVOTDATA(" Undergrad Contact Hour FTE - New",'FTE Pivot for regular counts'!$A$2,"State","WV","Category","10","Category2","Two-Year")</f>
        <v>0</v>
      </c>
      <c r="F151" s="10">
        <f>+GETPIVOTDATA(" Undergrad Contact Hour FTE - New",'FTE Pivot for regular counts'!$A$2,"State","WV","Category2","Two-Year")</f>
        <v>0</v>
      </c>
      <c r="G151" s="9">
        <f>+GETPIVOTDATA(" Undergrad Contact Hour FTE - New",'FTE Pivot for regular counts'!$A$2,"State","WV","Category","12","Category2","Technical")</f>
        <v>0</v>
      </c>
      <c r="H151" s="120">
        <f>+GETPIVOTDATA(" Undergrad Contact Hour FTE - New",'FTE Pivot for regular counts'!$A$2,"State","WV","Category","13","Category2","Technical")</f>
        <v>0</v>
      </c>
      <c r="I151" s="120">
        <f>+GETPIVOTDATA(" Undergrad Contact Hour FTE - New",'FTE Pivot for regular counts'!$A$2,"State","WV","Category2","Technical")</f>
        <v>0</v>
      </c>
      <c r="J151" s="119"/>
      <c r="K151" s="119"/>
      <c r="L151" s="73"/>
      <c r="M151" s="1"/>
      <c r="P151" s="3" t="s">
        <v>94</v>
      </c>
      <c r="Q151" s="9">
        <f>+GETPIVOTDATA(" Undergrad Contact Hour FTE - Old",'FTE Pivot for regular counts'!$A$2,"State","WV","Category","7","Category2","Two-Year")</f>
        <v>0</v>
      </c>
      <c r="R151" s="9">
        <f>+GETPIVOTDATA(" Undergrad Contact Hour FTE - Old",'FTE Pivot for regular counts'!$A$2,"State","WV","Category","8","Category2","Two-Year")</f>
        <v>0</v>
      </c>
      <c r="S151" s="9">
        <f>+GETPIVOTDATA(" Undergrad Contact Hour FTE - Old",'FTE Pivot for regular counts'!$A$2,"State","WV","Category","9","Category2","Two-Year")</f>
        <v>0</v>
      </c>
      <c r="T151" s="9">
        <f>+GETPIVOTDATA(" Undergrad Contact Hour FTE - Old",'FTE Pivot for regular counts'!$A$2,"State","WV","Category","10","Category2","Two-Year")</f>
        <v>0</v>
      </c>
      <c r="U151" s="10">
        <f>+GETPIVOTDATA(" Undergrad Contact Hour FTE - Old",'FTE Pivot for regular counts'!$A$2,"State","WV","Category2","Two-Year")</f>
        <v>0</v>
      </c>
      <c r="V151" s="9">
        <f>+GETPIVOTDATA(" Undergrad Contact Hour FTE - Old",'FTE Pivot for regular counts'!$A$2,"State","WV","Category","12","Category2","Technical")</f>
        <v>0</v>
      </c>
      <c r="W151" s="9">
        <f>+GETPIVOTDATA(" Undergrad Contact Hour FTE - Old",'FTE Pivot for regular counts'!$A$2,"State","WV","Category","13","Category2","Technical")</f>
        <v>0</v>
      </c>
      <c r="X151" s="9">
        <f>+GETPIVOTDATA(" Undergrad Contact Hour FTE - Old",'FTE Pivot for regular counts'!$A$2,"State","WV","Category2","Technical")</f>
        <v>0</v>
      </c>
      <c r="Y151" s="32"/>
    </row>
    <row r="152" spans="1:88" s="25" customFormat="1" ht="36" customHeight="1">
      <c r="A152" s="811" t="s">
        <v>987</v>
      </c>
      <c r="B152" s="811"/>
      <c r="C152" s="811"/>
      <c r="D152" s="811"/>
      <c r="E152" s="811"/>
      <c r="F152" s="811"/>
      <c r="G152" s="811"/>
      <c r="H152" s="811"/>
      <c r="I152" s="811"/>
      <c r="J152" s="725"/>
      <c r="K152" s="103"/>
      <c r="L152" s="103"/>
    </row>
    <row r="153" spans="1:88" ht="10.5" customHeight="1">
      <c r="I153" s="169" t="s">
        <v>1018</v>
      </c>
      <c r="J153" s="169"/>
      <c r="K153" s="163"/>
      <c r="L153" s="163"/>
      <c r="M153" s="1"/>
    </row>
    <row r="154" spans="1:88" ht="18">
      <c r="A154" s="115" t="s">
        <v>227</v>
      </c>
      <c r="B154" s="115"/>
      <c r="C154" s="115"/>
      <c r="D154" s="115"/>
      <c r="E154" s="115"/>
      <c r="F154" s="115"/>
      <c r="G154" s="115"/>
      <c r="H154" s="115"/>
      <c r="I154" s="115"/>
      <c r="J154" s="115"/>
      <c r="K154" s="115"/>
      <c r="L154" s="169"/>
      <c r="M154" s="1"/>
      <c r="P154" s="4"/>
      <c r="Q154" s="4"/>
      <c r="R154" s="4"/>
      <c r="S154" s="4"/>
      <c r="T154" s="4"/>
      <c r="U154" s="4"/>
      <c r="V154" s="4"/>
      <c r="W154" s="4"/>
      <c r="X154" s="4"/>
      <c r="Y154" s="4"/>
      <c r="Z154" s="4"/>
      <c r="AA154" s="4"/>
      <c r="AB154" s="4"/>
      <c r="AC154" s="4"/>
      <c r="AD154" s="230"/>
      <c r="AE154" s="146"/>
      <c r="AF154" s="146"/>
      <c r="AG154" s="146"/>
      <c r="AH154" s="146"/>
      <c r="AI154" s="4"/>
      <c r="AT154" s="4"/>
      <c r="AU154" s="4"/>
      <c r="AV154" s="25"/>
      <c r="AW154" s="25"/>
      <c r="AX154" s="25"/>
      <c r="AY154" s="25"/>
      <c r="AZ154" s="25"/>
      <c r="BA154" s="25"/>
      <c r="BB154" s="25"/>
      <c r="BC154" s="25"/>
      <c r="BD154" s="25"/>
      <c r="BE154" s="25"/>
      <c r="BF154" s="25"/>
      <c r="BG154" s="25"/>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row>
    <row r="155" spans="1:88" s="4" customFormat="1" ht="15.75" customHeight="1">
      <c r="A155" s="21"/>
      <c r="B155" s="21"/>
      <c r="C155" s="21"/>
      <c r="D155" s="21"/>
      <c r="E155" s="21"/>
      <c r="F155" s="21"/>
      <c r="G155" s="21"/>
      <c r="H155" s="105"/>
      <c r="I155" s="21"/>
      <c r="J155" s="105"/>
      <c r="K155" s="105"/>
      <c r="L155" s="177"/>
      <c r="P155" s="1"/>
      <c r="Q155" s="1"/>
      <c r="R155" s="1"/>
      <c r="S155" s="1"/>
      <c r="T155" s="1"/>
      <c r="U155" s="1"/>
      <c r="V155" s="1"/>
      <c r="W155" s="1"/>
      <c r="X155" s="1"/>
      <c r="Y155" s="1"/>
      <c r="Z155" s="1"/>
      <c r="AA155" s="1"/>
      <c r="AB155" s="1"/>
      <c r="AC155" s="146"/>
      <c r="AD155" s="1"/>
      <c r="AE155" s="1"/>
      <c r="AF155" s="1"/>
      <c r="AG155" s="1"/>
      <c r="AH155" s="1"/>
      <c r="AI155" s="146"/>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row>
    <row r="156" spans="1:88" ht="18.75" customHeight="1">
      <c r="A156" s="43" t="s">
        <v>47</v>
      </c>
      <c r="B156" s="43"/>
      <c r="C156" s="43"/>
      <c r="D156" s="43"/>
      <c r="E156" s="43"/>
      <c r="F156" s="43"/>
      <c r="G156" s="43"/>
      <c r="H156" s="43"/>
      <c r="I156" s="43"/>
      <c r="J156" s="43"/>
      <c r="K156" s="43"/>
      <c r="L156" s="105"/>
      <c r="M156" s="1"/>
      <c r="AC156" s="100"/>
      <c r="AD156" s="100"/>
      <c r="AE156" s="100"/>
      <c r="AF156" s="100"/>
      <c r="AG156" s="100"/>
      <c r="AH156" s="100"/>
      <c r="AI156" s="100"/>
      <c r="AN156" s="25"/>
      <c r="AO156" s="25"/>
      <c r="AP156" s="25"/>
      <c r="AQ156" s="25"/>
      <c r="AZ156" s="25"/>
      <c r="BA156" s="25"/>
      <c r="BB156" s="25"/>
      <c r="BC156" s="25"/>
      <c r="BD156" s="25"/>
      <c r="BE156" s="25"/>
      <c r="BF156" s="25"/>
      <c r="BG156" s="25"/>
    </row>
    <row r="157" spans="1:88" ht="15.75">
      <c r="A157" s="43" t="s">
        <v>989</v>
      </c>
      <c r="B157" s="43"/>
      <c r="C157" s="43"/>
      <c r="D157" s="43"/>
      <c r="E157" s="43"/>
      <c r="F157" s="43"/>
      <c r="G157" s="43"/>
      <c r="H157" s="43"/>
      <c r="I157" s="43"/>
      <c r="J157" s="43"/>
      <c r="K157" s="43"/>
      <c r="L157" s="132"/>
      <c r="M157" s="1"/>
      <c r="Q157" s="126" t="s">
        <v>49</v>
      </c>
      <c r="AC157" s="100"/>
      <c r="AD157" s="100"/>
      <c r="AE157" s="100"/>
      <c r="AF157" s="100"/>
      <c r="AG157" s="100"/>
      <c r="AH157" s="100"/>
      <c r="AI157" s="100"/>
    </row>
    <row r="158" spans="1:88" ht="15.75">
      <c r="B158" s="2"/>
      <c r="C158" s="2"/>
      <c r="D158" s="2"/>
      <c r="E158" s="171"/>
      <c r="F158" s="2"/>
      <c r="G158" s="171"/>
      <c r="H158" s="202"/>
      <c r="I158" s="171"/>
      <c r="J158" s="202"/>
      <c r="K158" s="202"/>
      <c r="L158" s="132"/>
      <c r="M158" s="199"/>
      <c r="P158" s="3"/>
      <c r="Q158" s="238" t="s">
        <v>208</v>
      </c>
      <c r="R158" s="3"/>
      <c r="S158" s="3"/>
      <c r="T158" s="3"/>
      <c r="U158" s="3"/>
      <c r="V158" s="3"/>
      <c r="W158" s="3"/>
      <c r="X158" s="3"/>
      <c r="Y158" s="3"/>
      <c r="Z158" s="3"/>
      <c r="AA158" s="3"/>
      <c r="AC158" s="100"/>
      <c r="AD158" s="237" t="s">
        <v>50</v>
      </c>
      <c r="AE158" s="100"/>
      <c r="AF158" s="100"/>
      <c r="AG158" s="100"/>
      <c r="AH158" s="100"/>
      <c r="AI158" s="100"/>
      <c r="AJ158" s="795"/>
      <c r="AK158" s="784" t="s">
        <v>50</v>
      </c>
      <c r="AL158" s="783"/>
      <c r="AM158" s="783"/>
      <c r="AN158" s="783"/>
      <c r="AO158" s="783"/>
      <c r="AP158" s="783"/>
      <c r="AQ158" s="25"/>
      <c r="AZ158" s="25"/>
      <c r="BA158" s="25"/>
      <c r="BB158" s="25"/>
      <c r="BC158" s="25"/>
      <c r="BD158" s="25"/>
      <c r="BE158" s="25"/>
      <c r="BF158" s="25"/>
      <c r="BG158" s="25"/>
    </row>
    <row r="159" spans="1:88" ht="12.75" customHeight="1" thickBot="1">
      <c r="A159" s="727"/>
      <c r="B159" s="728" t="s">
        <v>156</v>
      </c>
      <c r="C159" s="65"/>
      <c r="D159" s="729">
        <v>1</v>
      </c>
      <c r="F159" s="206">
        <v>2</v>
      </c>
      <c r="H159" s="206">
        <v>3</v>
      </c>
      <c r="J159" s="206" t="s">
        <v>41</v>
      </c>
      <c r="K159" s="204"/>
      <c r="L159" s="191"/>
      <c r="M159" s="191"/>
      <c r="N159" s="25"/>
      <c r="O159" s="25"/>
      <c r="P159" s="36"/>
      <c r="Q159" s="36"/>
      <c r="R159" s="36" t="s">
        <v>211</v>
      </c>
      <c r="S159" s="36"/>
      <c r="T159" s="235" t="s">
        <v>209</v>
      </c>
      <c r="U159" s="36"/>
      <c r="V159" s="235">
        <v>2</v>
      </c>
      <c r="W159" s="36"/>
      <c r="X159" s="235">
        <v>3</v>
      </c>
      <c r="Y159" s="36"/>
      <c r="Z159" s="235" t="s">
        <v>0</v>
      </c>
      <c r="AA159" s="36"/>
      <c r="AC159" s="100"/>
      <c r="AD159" s="135" t="s">
        <v>78</v>
      </c>
      <c r="AE159" s="135"/>
      <c r="AF159" s="136"/>
      <c r="AG159" s="136"/>
      <c r="AH159" s="136"/>
      <c r="AI159" s="136"/>
      <c r="AJ159" s="796"/>
      <c r="AK159" s="785" t="s">
        <v>78</v>
      </c>
      <c r="AL159" s="785"/>
      <c r="AM159" s="786"/>
      <c r="AN159" s="786"/>
      <c r="AO159" s="786"/>
      <c r="AP159" s="786"/>
    </row>
    <row r="160" spans="1:88" ht="78" customHeight="1" thickBot="1">
      <c r="A160" s="203"/>
      <c r="B160" s="204" t="s">
        <v>160</v>
      </c>
      <c r="C160" s="166" t="s">
        <v>24</v>
      </c>
      <c r="D160" s="205" t="s">
        <v>160</v>
      </c>
      <c r="E160" s="166" t="s">
        <v>24</v>
      </c>
      <c r="F160" s="205" t="s">
        <v>160</v>
      </c>
      <c r="G160" s="166" t="s">
        <v>24</v>
      </c>
      <c r="H160" s="205" t="s">
        <v>160</v>
      </c>
      <c r="I160" s="166" t="s">
        <v>24</v>
      </c>
      <c r="J160" s="205" t="s">
        <v>160</v>
      </c>
      <c r="K160" s="166" t="s">
        <v>24</v>
      </c>
      <c r="Q160" s="3"/>
      <c r="R160" s="234" t="s">
        <v>2</v>
      </c>
      <c r="S160" s="234" t="s">
        <v>4</v>
      </c>
      <c r="T160" s="236" t="s">
        <v>2</v>
      </c>
      <c r="U160" s="234" t="s">
        <v>4</v>
      </c>
      <c r="V160" s="236" t="s">
        <v>2</v>
      </c>
      <c r="W160" s="234" t="s">
        <v>4</v>
      </c>
      <c r="X160" s="236" t="s">
        <v>2</v>
      </c>
      <c r="Y160" s="234" t="s">
        <v>4</v>
      </c>
      <c r="Z160" s="236" t="s">
        <v>2</v>
      </c>
      <c r="AA160" s="234" t="s">
        <v>4</v>
      </c>
      <c r="AC160" s="324" t="s">
        <v>161</v>
      </c>
      <c r="AD160" s="141" t="s">
        <v>156</v>
      </c>
      <c r="AE160" s="782">
        <v>1</v>
      </c>
      <c r="AF160" s="142">
        <v>2</v>
      </c>
      <c r="AG160" s="142">
        <v>3</v>
      </c>
      <c r="AH160" s="141" t="s">
        <v>38</v>
      </c>
      <c r="AI160" s="142" t="s">
        <v>41</v>
      </c>
      <c r="AJ160" s="797" t="s">
        <v>49</v>
      </c>
      <c r="AK160" s="787" t="s">
        <v>156</v>
      </c>
      <c r="AL160" s="788">
        <v>1</v>
      </c>
      <c r="AM160" s="788">
        <v>2</v>
      </c>
      <c r="AN160" s="788">
        <v>3</v>
      </c>
      <c r="AO160" s="788" t="s">
        <v>38</v>
      </c>
      <c r="AP160" s="788" t="s">
        <v>41</v>
      </c>
      <c r="AQ160" s="25"/>
      <c r="AZ160" s="25"/>
      <c r="BA160" s="25"/>
      <c r="BB160" s="25"/>
      <c r="BC160" s="25"/>
      <c r="BD160" s="25"/>
      <c r="BE160" s="25"/>
      <c r="BF160" s="25"/>
      <c r="BG160" s="25"/>
    </row>
    <row r="161" spans="1:88" ht="12.75" customHeight="1">
      <c r="A161" s="1" t="s">
        <v>79</v>
      </c>
      <c r="B161" s="7">
        <f>+'NEW-Tables 80-86'!B101+'NEW-Tables 80-86'!B131</f>
        <v>212771.46555555557</v>
      </c>
      <c r="D161" s="173">
        <f>+'NEW-Tables 80-86'!C101+'NEW-Tables 80-86'!C131</f>
        <v>1071678.331888889</v>
      </c>
      <c r="F161" s="173">
        <f>+'NEW-Tables 80-86'!D101+'NEW-Tables 80-86'!D131</f>
        <v>462570.60177777783</v>
      </c>
      <c r="H161" s="175">
        <f>+'NEW-Tables 80-86'!E101+'NEW-Tables 80-86'!E131</f>
        <v>146636.47988888886</v>
      </c>
      <c r="J161" s="173">
        <f>+'NEW-Tables 80-86'!F101+'NEW-Tables 80-86'!F131</f>
        <v>1893656.8791111109</v>
      </c>
      <c r="K161" s="1"/>
      <c r="Q161" s="1" t="s">
        <v>79</v>
      </c>
      <c r="R161" s="751"/>
      <c r="S161" s="740">
        <f>C161-R161</f>
        <v>0</v>
      </c>
      <c r="T161" s="242"/>
      <c r="U161" s="740">
        <f>E161-T161</f>
        <v>0</v>
      </c>
      <c r="V161" s="242"/>
      <c r="W161" s="740">
        <f>G161-V161</f>
        <v>0</v>
      </c>
      <c r="X161" s="242"/>
      <c r="Y161" s="740">
        <f>I161-X161</f>
        <v>0</v>
      </c>
      <c r="Z161" s="242"/>
      <c r="AA161" s="740">
        <f>K161-Z161</f>
        <v>0</v>
      </c>
      <c r="AC161" s="100" t="s">
        <v>79</v>
      </c>
      <c r="AD161" s="80">
        <f>SUM(AD163:AD181)</f>
        <v>212771.46555555557</v>
      </c>
      <c r="AE161" s="80">
        <f>SUM(AE163:AE181)</f>
        <v>925486.47633333341</v>
      </c>
      <c r="AF161" s="80">
        <f>SUM(AF163:AF181)</f>
        <v>401653.08622222231</v>
      </c>
      <c r="AG161" s="80">
        <f>SUM(AG163:AG181)</f>
        <v>135541.14544444444</v>
      </c>
      <c r="AH161" s="80">
        <f>SUM(AH163:AH181)</f>
        <v>217352.83888888889</v>
      </c>
      <c r="AI161" s="80">
        <f>SUM(AI163:AI181)</f>
        <v>1893656.8791111112</v>
      </c>
      <c r="AJ161" s="796" t="s">
        <v>79</v>
      </c>
      <c r="AK161" s="789">
        <f>SUM(AK163:AK181)</f>
        <v>213946.88222222222</v>
      </c>
      <c r="AL161" s="789">
        <f>SUM(AL163:AL181)</f>
        <v>913202.28</v>
      </c>
      <c r="AM161" s="789">
        <f>SUM(AM163:AM181)</f>
        <v>408787.93777777778</v>
      </c>
      <c r="AN161" s="789">
        <f>SUM(AN163:AN181)</f>
        <v>137305.66055555557</v>
      </c>
      <c r="AO161" s="789">
        <f>SUM(AO163:AO181)</f>
        <v>213350.64666666667</v>
      </c>
      <c r="AP161" s="789">
        <f>SUM(AP163:AP181)</f>
        <v>1887361.6738888889</v>
      </c>
      <c r="BH161" s="75"/>
      <c r="BI161" s="75"/>
      <c r="BJ161" s="75"/>
    </row>
    <row r="162" spans="1:88" ht="12.75" customHeight="1">
      <c r="A162" s="265"/>
      <c r="B162" s="266"/>
      <c r="C162" s="261" t="s">
        <v>237</v>
      </c>
      <c r="D162" s="262" t="s">
        <v>39</v>
      </c>
      <c r="E162" s="261" t="s">
        <v>238</v>
      </c>
      <c r="F162" s="262" t="s">
        <v>39</v>
      </c>
      <c r="G162" s="263" t="s">
        <v>239</v>
      </c>
      <c r="H162" s="264" t="s">
        <v>39</v>
      </c>
      <c r="I162" s="263" t="s">
        <v>240</v>
      </c>
      <c r="J162" s="264" t="s">
        <v>39</v>
      </c>
      <c r="K162" s="261" t="s">
        <v>241</v>
      </c>
      <c r="L162" s="4" t="s">
        <v>39</v>
      </c>
      <c r="P162" s="75"/>
      <c r="R162" s="747" t="s">
        <v>985</v>
      </c>
      <c r="S162" s="752"/>
      <c r="T162" s="748" t="s">
        <v>997</v>
      </c>
      <c r="U162" s="752"/>
      <c r="V162" s="748" t="s">
        <v>998</v>
      </c>
      <c r="W162" s="752"/>
      <c r="X162" s="748" t="s">
        <v>999</v>
      </c>
      <c r="Y162" s="752"/>
      <c r="Z162" s="748" t="s">
        <v>1000</v>
      </c>
      <c r="AA162" s="752"/>
      <c r="AB162" s="75"/>
      <c r="AC162" s="100"/>
      <c r="AD162" s="80"/>
      <c r="AE162" s="80"/>
      <c r="AF162" s="80"/>
      <c r="AG162" s="80"/>
      <c r="AH162" s="80"/>
      <c r="AI162" s="80"/>
      <c r="AJ162" s="796"/>
      <c r="AK162" s="789"/>
      <c r="AL162" s="790"/>
      <c r="AM162" s="790"/>
      <c r="AN162" s="783"/>
      <c r="AO162" s="783"/>
      <c r="AP162" s="783"/>
      <c r="AQ162" s="25"/>
      <c r="AZ162" s="25"/>
      <c r="BA162" s="25"/>
      <c r="BB162" s="25"/>
      <c r="BC162" s="25"/>
      <c r="BD162" s="25"/>
      <c r="BE162" s="25"/>
      <c r="BF162" s="25"/>
      <c r="BG162" s="25"/>
      <c r="BK162" s="75"/>
      <c r="BL162" s="75"/>
      <c r="BM162" s="75"/>
      <c r="BN162" s="75"/>
      <c r="BO162" s="75"/>
      <c r="BP162" s="75"/>
      <c r="BQ162" s="75"/>
      <c r="BR162" s="75"/>
      <c r="BS162" s="75"/>
      <c r="BT162" s="75"/>
      <c r="BU162" s="75"/>
      <c r="BV162" s="75"/>
      <c r="BW162" s="75"/>
      <c r="BX162" s="75"/>
      <c r="BY162" s="75"/>
      <c r="BZ162" s="75"/>
      <c r="CA162" s="75"/>
      <c r="CB162" s="75"/>
      <c r="CC162" s="75"/>
      <c r="CD162" s="75"/>
      <c r="CE162" s="75"/>
      <c r="CF162" s="75"/>
      <c r="CG162" s="75"/>
      <c r="CH162" s="75"/>
      <c r="CI162" s="75"/>
      <c r="CJ162" s="75"/>
    </row>
    <row r="163" spans="1:88" s="75" customFormat="1" ht="15" customHeight="1">
      <c r="A163" s="1" t="s">
        <v>80</v>
      </c>
      <c r="B163" s="7">
        <f>+'NEW-Tables 80-86'!B103+'NEW-Tables 80-86'!B133</f>
        <v>0</v>
      </c>
      <c r="C163" s="96">
        <f>+GETPIVOTDATA("Sum of New-HS % of Total",'Pivot-HS Student % of Undergrad'!$A$3,"State","AL","Category",7,"Category2","Two-Year")</f>
        <v>0</v>
      </c>
      <c r="D163" s="173">
        <f>+'NEW-Tables 80-86'!C103+'NEW-Tables 80-86'!C133</f>
        <v>26710.799999999999</v>
      </c>
      <c r="E163" s="96">
        <f>+GETPIVOTDATA("Sum of New-HS % of Total",'Pivot-HS Student % of Undergrad'!$A$3,"State","AL","Category",8,"Category2","Two-Year")</f>
        <v>2.8456654237237373E-2</v>
      </c>
      <c r="F163" s="173">
        <f>+'NEW-Tables 80-86'!D103+'NEW-Tables 80-86'!D133</f>
        <v>38344.900000000009</v>
      </c>
      <c r="G163" s="96">
        <f>+GETPIVOTDATA("Sum of New-HS % of Total",'Pivot-HS Student % of Undergrad'!$A$3,"State","AL","Category",9,"Category2","Two-Year")</f>
        <v>2.0578138596440899E-2</v>
      </c>
      <c r="H163" s="173">
        <f>+'NEW-Tables 80-86'!E103+'NEW-Tables 80-86'!E133</f>
        <v>9439</v>
      </c>
      <c r="I163" s="96">
        <f>+GETPIVOTDATA("Sum of New-HS % of Total",'Pivot-HS Student % of Undergrad'!$A$3,"State","AL","Category",10,"Category2","Two-Year")</f>
        <v>3.1970194582759473E-2</v>
      </c>
      <c r="J163" s="173">
        <f>+'NEW-Tables 80-86'!F103+'NEW-Tables 80-86'!F133</f>
        <v>74494.700000000012</v>
      </c>
      <c r="K163" s="96">
        <f>+GETPIVOTDATA("Sum of New-HS % of Total",'Pivot-HS Student % of Undergrad'!$A$3,"State","AL","Category2","Group2")</f>
        <v>2.4846510333397319E-2</v>
      </c>
      <c r="L163" s="75" t="s">
        <v>39</v>
      </c>
      <c r="P163" s="1"/>
      <c r="Q163" s="1" t="s">
        <v>80</v>
      </c>
      <c r="R163" s="241">
        <f>+GETPIVOTDATA("Sum of Old-HS % of Total",'Pivot-HS Student % of Undergrad'!$A$3,"State","AL","Category",7,"Category2","Two-Year")</f>
        <v>0</v>
      </c>
      <c r="S163" s="807">
        <f>(C163-R163)*100</f>
        <v>0</v>
      </c>
      <c r="T163" s="242">
        <f>+GETPIVOTDATA("Sum of Old-HS % of Total",'Pivot-HS Student % of Undergrad'!$A$3,"State","AL","Category",8,"Category2","Two-Year")</f>
        <v>2.6723666051527217E-2</v>
      </c>
      <c r="U163" s="807">
        <f>(E163-T163)*100</f>
        <v>0.1732988185710157</v>
      </c>
      <c r="V163" s="242">
        <f>+GETPIVOTDATA("Sum of Old-HS % of Total",'Pivot-HS Student % of Undergrad'!$A$3,"State","AL","Category",9,"Category2","Two-Year")</f>
        <v>1.9153779144843758E-2</v>
      </c>
      <c r="W163" s="807">
        <f>(G163-V163)*100</f>
        <v>0.14243594515971417</v>
      </c>
      <c r="X163" s="242">
        <f>+GETPIVOTDATA("Sum of Old-HS % of Total",'Pivot-HS Student % of Undergrad'!$A$3,"State","AL","Category",10,"Category2","Two-Year")</f>
        <v>2.8658286651181857E-2</v>
      </c>
      <c r="Y163" s="807">
        <f>(I163-X163)*100</f>
        <v>0.33119079315776168</v>
      </c>
      <c r="Z163" s="242">
        <f>+GETPIVOTDATA("Sum of Old-HS % of Total",'Pivot-HS Student % of Undergrad'!$A$3,"State","AL","Category2","Two-Year")</f>
        <v>2.3028400166322467E-2</v>
      </c>
      <c r="AA163" s="807">
        <f>(K163-Z163)*100</f>
        <v>0.18181101670748517</v>
      </c>
      <c r="AB163" s="1"/>
      <c r="AC163" s="100" t="s">
        <v>80</v>
      </c>
      <c r="AD163" s="80">
        <f>+B163</f>
        <v>0</v>
      </c>
      <c r="AE163" s="80">
        <f>+D163</f>
        <v>26710.799999999999</v>
      </c>
      <c r="AF163" s="80">
        <f>+F163</f>
        <v>38344.900000000009</v>
      </c>
      <c r="AG163" s="80">
        <f>+H163</f>
        <v>9439</v>
      </c>
      <c r="AH163" s="80"/>
      <c r="AI163" s="80">
        <f>+J163</f>
        <v>74494.700000000012</v>
      </c>
      <c r="AJ163" s="796" t="s">
        <v>80</v>
      </c>
      <c r="AK163" s="789">
        <f>+'NEW-Tables 80-86'!R103+'NEW-Tables 80-86'!Q133</f>
        <v>0</v>
      </c>
      <c r="AL163" s="789">
        <f>+'NEW-Tables 80-86'!S103+'NEW-Tables 80-86'!R133</f>
        <v>27220.566666666669</v>
      </c>
      <c r="AM163" s="789">
        <f>+'NEW-Tables 80-86'!T103+'NEW-Tables 80-86'!S133</f>
        <v>40140.033333333333</v>
      </c>
      <c r="AN163" s="789">
        <f>+'NEW-Tables 80-86'!U103+'NEW-Tables 80-86'!T133</f>
        <v>9758.6666666666661</v>
      </c>
      <c r="AO163" s="789"/>
      <c r="AP163" s="791">
        <f>+'NEW-Tables 80-86'!V103+'NEW-Tables 80-86'!U133</f>
        <v>77119.266666666677</v>
      </c>
      <c r="AQ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row>
    <row r="164" spans="1:88" ht="15" customHeight="1">
      <c r="A164" s="1" t="s">
        <v>81</v>
      </c>
      <c r="B164" s="32">
        <f>+'NEW-Tables 80-86'!B104+'NEW-Tables 80-86'!B134</f>
        <v>0</v>
      </c>
      <c r="C164" s="96">
        <f>+GETPIVOTDATA("Sum of New-HS % of Total",'Pivot-HS Student % of Undergrad'!$A$3,"State","AR","Category",7,"Category2","Two-Year")</f>
        <v>0</v>
      </c>
      <c r="D164" s="173">
        <f>+'NEW-Tables 80-86'!C104+'NEW-Tables 80-86'!C134</f>
        <v>14524.8</v>
      </c>
      <c r="E164" s="96">
        <f>+GETPIVOTDATA("Sum of New-HS % of Total",'Pivot-HS Student % of Undergrad'!$A$3,"State","AR","Category",8,"Category2","Two-Year")</f>
        <v>2.0190754204303444E-2</v>
      </c>
      <c r="F164" s="173">
        <f>+'NEW-Tables 80-86'!D104+'NEW-Tables 80-86'!D134</f>
        <v>6430.5</v>
      </c>
      <c r="G164" s="96">
        <f>+GETPIVOTDATA("Sum of New-HS % of Total",'Pivot-HS Student % of Undergrad'!$A$3,"State","AR","Category",9,"Category2","Two-Year")</f>
        <v>6.5692144208589279E-2</v>
      </c>
      <c r="H164" s="173">
        <f>+'NEW-Tables 80-86'!E104+'NEW-Tables 80-86'!E134</f>
        <v>24259.73333333333</v>
      </c>
      <c r="I164" s="96">
        <f>+GETPIVOTDATA("Sum of New-HS % of Total",'Pivot-HS Student % of Undergrad'!$A$3,"State","AR","Category",10,"Category2","Two-Year")</f>
        <v>7.5680963791852615E-2</v>
      </c>
      <c r="J164" s="173">
        <f>+'NEW-Tables 80-86'!F104+'NEW-Tables 80-86'!F134</f>
        <v>45215.033333333326</v>
      </c>
      <c r="K164" s="96">
        <f>+GETPIVOTDATA("Sum of New-HS % of Total",'Pivot-HS Student % of Undergrad'!$A$3,"State","AR","Category2","Group2")</f>
        <v>5.6434769851620145E-2</v>
      </c>
      <c r="Q164" s="4" t="s">
        <v>81</v>
      </c>
      <c r="R164" s="241">
        <f>+GETPIVOTDATA("Sum of Old-HS % of Total",'Pivot-HS Student % of Undergrad'!$A$3,"State","AR","Category",7,"Category2","Two-Year")</f>
        <v>0</v>
      </c>
      <c r="S164" s="807">
        <f t="shared" ref="S164:S181" si="10">(C164-R164)*100</f>
        <v>0</v>
      </c>
      <c r="T164" s="242">
        <f>+GETPIVOTDATA("Sum of Old-HS % of Total",'Pivot-HS Student % of Undergrad'!$A$3,"State","AR","Category",8,"Category2","Two-Year")</f>
        <v>2.2268404992533252E-2</v>
      </c>
      <c r="U164" s="807">
        <f t="shared" ref="U164:U181" si="11">(E164-T164)*100</f>
        <v>-0.20776507882298081</v>
      </c>
      <c r="V164" s="242">
        <f>+GETPIVOTDATA("Sum of Old-HS % of Total",'Pivot-HS Student % of Undergrad'!$A$3,"State","AR","Category",9,"Category2","Two-Year")</f>
        <v>5.3834120669650258E-2</v>
      </c>
      <c r="W164" s="807">
        <f t="shared" ref="W164:W181" si="12">(G164-V164)*100</f>
        <v>1.185802353893902</v>
      </c>
      <c r="X164" s="242">
        <f>+GETPIVOTDATA("Sum of Old-HS % of Total",'Pivot-HS Student % of Undergrad'!$A$3,"State","AR","Category",10,"Category2","Two-Year")</f>
        <v>6.5567300802232678E-2</v>
      </c>
      <c r="Y164" s="807">
        <f t="shared" ref="Y164:Y181" si="13">(I164-X164)*100</f>
        <v>1.0113662989619936</v>
      </c>
      <c r="Z164" s="242">
        <f>+GETPIVOTDATA("Sum of Old-HS % of Total",'Pivot-HS Student % of Undergrad'!$A$3,"State","AR","Category2","Two-Year")</f>
        <v>5.0538676555279313E-2</v>
      </c>
      <c r="AA164" s="807">
        <f t="shared" ref="AA164:AA181" si="14">(K164-Z164)*100</f>
        <v>0.58960932963408319</v>
      </c>
      <c r="AB164" s="273"/>
      <c r="AC164" s="100" t="s">
        <v>81</v>
      </c>
      <c r="AD164" s="80">
        <f>+B164</f>
        <v>0</v>
      </c>
      <c r="AE164" s="80">
        <f>+D164</f>
        <v>14524.8</v>
      </c>
      <c r="AF164" s="80">
        <f>+F164</f>
        <v>6430.5</v>
      </c>
      <c r="AG164" s="80">
        <f>+H164</f>
        <v>24259.73333333333</v>
      </c>
      <c r="AH164" s="80"/>
      <c r="AI164" s="80">
        <f>+J164</f>
        <v>45215.033333333326</v>
      </c>
      <c r="AJ164" s="796" t="s">
        <v>81</v>
      </c>
      <c r="AK164" s="790">
        <f>+'NEW-Tables 80-86'!R104+'NEW-Tables 80-86'!Q134</f>
        <v>0</v>
      </c>
      <c r="AL164" s="790">
        <f>+'NEW-Tables 80-86'!S104+'NEW-Tables 80-86'!R134</f>
        <v>13906.1</v>
      </c>
      <c r="AM164" s="790">
        <f>+'NEW-Tables 80-86'!T104+'NEW-Tables 80-86'!S134</f>
        <v>6435.2</v>
      </c>
      <c r="AN164" s="790">
        <f>+'NEW-Tables 80-86'!U104+'NEW-Tables 80-86'!T134</f>
        <v>24747.599999999999</v>
      </c>
      <c r="AO164" s="790"/>
      <c r="AP164" s="791">
        <f>+'NEW-Tables 80-86'!V104+'NEW-Tables 80-86'!U134</f>
        <v>45088.899999999994</v>
      </c>
      <c r="AQ164" s="25"/>
      <c r="AZ164" s="25"/>
      <c r="BA164" s="25"/>
      <c r="BB164" s="25"/>
      <c r="BC164" s="25"/>
      <c r="BD164" s="25"/>
      <c r="BE164" s="25"/>
      <c r="BF164" s="25"/>
      <c r="BG164" s="25"/>
    </row>
    <row r="165" spans="1:88" ht="15" customHeight="1">
      <c r="A165" s="1" t="s">
        <v>118</v>
      </c>
      <c r="B165" s="32">
        <f>+'NEW-Tables 80-86'!B105+'NEW-Tables 80-86'!B135</f>
        <v>0</v>
      </c>
      <c r="C165" s="96">
        <f>+GETPIVOTDATA("Sum of New-HS % of Total",'Pivot-HS Student % of Undergrad'!$A$3,"State","DE","Category",7,"Category2","Two-Year")</f>
        <v>0</v>
      </c>
      <c r="D165" s="173">
        <f>+'NEW-Tables 80-86'!C105+'NEW-Tables 80-86'!C135</f>
        <v>5258.4</v>
      </c>
      <c r="E165" s="96">
        <f>+GETPIVOTDATA("Sum of New-HS % of Total",'Pivot-HS Student % of Undergrad'!$A$3,"State","DE","Category",8,"Category2","Two-Year")</f>
        <v>0</v>
      </c>
      <c r="F165" s="173">
        <f>+'NEW-Tables 80-86'!D105+'NEW-Tables 80-86'!D135</f>
        <v>5958.9333333333334</v>
      </c>
      <c r="G165" s="96">
        <f>+GETPIVOTDATA("Sum of New-HS % of Total",'Pivot-HS Student % of Undergrad'!$A$3,"State","DE","Category",9,"Category2","Two-Year")</f>
        <v>0</v>
      </c>
      <c r="H165" s="173">
        <f>+'NEW-Tables 80-86'!E105+'NEW-Tables 80-86'!E135</f>
        <v>0</v>
      </c>
      <c r="I165" s="96">
        <f>+GETPIVOTDATA("Sum of New-HS % of Total",'Pivot-HS Student % of Undergrad'!$A$3,"State","DE","Category",10,"Category2","Two-Year")</f>
        <v>0</v>
      </c>
      <c r="J165" s="173">
        <f>+'NEW-Tables 80-86'!F105+'NEW-Tables 80-86'!F135</f>
        <v>11217.333333333332</v>
      </c>
      <c r="K165" s="96">
        <f>+GETPIVOTDATA("Sum of New-HS % of Total",'Pivot-HS Student % of Undergrad'!$A$3,"State","DE","Category2","Group2")</f>
        <v>0</v>
      </c>
      <c r="Q165" s="1" t="s">
        <v>118</v>
      </c>
      <c r="R165" s="241">
        <f>+GETPIVOTDATA("Sum of Old-HS % of Total",'Pivot-HS Student % of Undergrad'!$A$3,"State","DE","Category",7,"Category2","Two-Year")</f>
        <v>0</v>
      </c>
      <c r="S165" s="807">
        <f t="shared" si="10"/>
        <v>0</v>
      </c>
      <c r="T165" s="242">
        <f>+GETPIVOTDATA("Sum of Old-HS % of Total",'Pivot-HS Student % of Undergrad'!$A$3,"State","DE","Category",8,"Category2","Two-Year")</f>
        <v>3.3622226319995081E-3</v>
      </c>
      <c r="U165" s="807">
        <f t="shared" si="11"/>
        <v>-0.3362222631999508</v>
      </c>
      <c r="V165" s="242">
        <f>+GETPIVOTDATA("Sum of Old-HS % of Total",'Pivot-HS Student % of Undergrad'!$A$3,"State","DE","Category",9,"Category2","Two-Year")</f>
        <v>2.5828360313922428E-3</v>
      </c>
      <c r="W165" s="807">
        <f t="shared" si="12"/>
        <v>-0.25828360313922427</v>
      </c>
      <c r="X165" s="242">
        <f>+GETPIVOTDATA("Sum of Old-HS % of Total",'Pivot-HS Student % of Undergrad'!$A$3,"State","DE","Category",10,"Category2","Two-Year")</f>
        <v>0</v>
      </c>
      <c r="Y165" s="807">
        <f t="shared" si="13"/>
        <v>0</v>
      </c>
      <c r="Z165" s="242">
        <f>+GETPIVOTDATA("Sum of Old-HS % of Total",'Pivot-HS Student % of Undergrad'!$A$3,"State","DE","Category2","Two-Year")</f>
        <v>2.9519736593119632E-3</v>
      </c>
      <c r="AA165" s="807">
        <f t="shared" si="14"/>
        <v>-0.29519736593119633</v>
      </c>
      <c r="AC165" s="100" t="s">
        <v>118</v>
      </c>
      <c r="AD165" s="80">
        <f>+B165</f>
        <v>0</v>
      </c>
      <c r="AE165" s="80">
        <f>+D165</f>
        <v>5258.4</v>
      </c>
      <c r="AF165" s="80">
        <f>+F165</f>
        <v>5958.9333333333334</v>
      </c>
      <c r="AG165" s="80">
        <f>+H165</f>
        <v>0</v>
      </c>
      <c r="AH165" s="80"/>
      <c r="AI165" s="80">
        <f>+J165</f>
        <v>11217.333333333332</v>
      </c>
      <c r="AJ165" s="796" t="s">
        <v>118</v>
      </c>
      <c r="AK165" s="790">
        <f>+'NEW-Tables 80-86'!R105+'NEW-Tables 80-86'!Q135</f>
        <v>0</v>
      </c>
      <c r="AL165" s="790">
        <f>+'NEW-Tables 80-86'!S105+'NEW-Tables 80-86'!R135</f>
        <v>5423</v>
      </c>
      <c r="AM165" s="790">
        <f>+'NEW-Tables 80-86'!T105+'NEW-Tables 80-86'!S135</f>
        <v>6026.9666666666672</v>
      </c>
      <c r="AN165" s="790">
        <f>+'NEW-Tables 80-86'!U105+'NEW-Tables 80-86'!T135</f>
        <v>0</v>
      </c>
      <c r="AO165" s="790"/>
      <c r="AP165" s="791">
        <f>+'NEW-Tables 80-86'!V105+'NEW-Tables 80-86'!U135</f>
        <v>11449.966666666667</v>
      </c>
    </row>
    <row r="166" spans="1:88" ht="15" customHeight="1">
      <c r="A166" s="1" t="s">
        <v>82</v>
      </c>
      <c r="B166" s="32">
        <f>+'NEW-Tables 80-86'!B106+'NEW-Tables 80-86'!B136</f>
        <v>157768.67111111112</v>
      </c>
      <c r="C166" s="96">
        <f>+GETPIVOTDATA("Sum of New-HS % of Total",'Pivot-HS Student % of Undergrad'!$A$3,"State","FL","Category",7,"Category2","Two-Year")</f>
        <v>1.5913719688069022E-2</v>
      </c>
      <c r="D166" s="173">
        <f>+'NEW-Tables 80-86'!C106+'NEW-Tables 80-86'!C136</f>
        <v>200103.78111111111</v>
      </c>
      <c r="E166" s="96">
        <f>+GETPIVOTDATA("Sum of New-HS % of Total",'Pivot-HS Student % of Undergrad'!$A$3,"State","FL","Category",8,"Category2","Two-Year")</f>
        <v>2.8559090395662227E-2</v>
      </c>
      <c r="F166" s="173">
        <f>+'NEW-Tables 80-86'!D106+'NEW-Tables 80-86'!D136</f>
        <v>18118.97111111111</v>
      </c>
      <c r="G166" s="96">
        <f>+GETPIVOTDATA("Sum of New-HS % of Total",'Pivot-HS Student % of Undergrad'!$A$3,"State","FL","Category",9,"Category2","Two-Year")</f>
        <v>6.9514107359496063E-2</v>
      </c>
      <c r="H166" s="173">
        <f>+'NEW-Tables 80-86'!E106+'NEW-Tables 80-86'!E136</f>
        <v>1948.8255555555554</v>
      </c>
      <c r="I166" s="96">
        <f>+GETPIVOTDATA("Sum of New-HS % of Total",'Pivot-HS Student % of Undergrad'!$A$3,"State","FL","Category",10,"Category2","Two-Year")</f>
        <v>3.2345181785541452E-2</v>
      </c>
      <c r="J166" s="173">
        <f>+'NEW-Tables 80-86'!F106+'NEW-Tables 80-86'!F136</f>
        <v>377940.24888888886</v>
      </c>
      <c r="K166" s="96">
        <f>+GETPIVOTDATA("Sum of New-HS % of Total",'Pivot-HS Student % of Undergrad'!$A$3,"State","FL","Category2","Group2")</f>
        <v>2.4941878629263226E-2</v>
      </c>
      <c r="Q166" s="1" t="s">
        <v>82</v>
      </c>
      <c r="R166" s="241">
        <f>+GETPIVOTDATA("Sum of Old-HS % of Total",'Pivot-HS Student % of Undergrad'!$A$3,"State","FL","Category",7,"Category2","Two-Year")</f>
        <v>1.3005829902774758E-2</v>
      </c>
      <c r="S166" s="807">
        <f t="shared" si="10"/>
        <v>0.29078897852942642</v>
      </c>
      <c r="T166" s="753">
        <f>+GETPIVOTDATA("Sum of Old-HS % of Total",'Pivot-HS Student % of Undergrad'!$A$3,"State","FL","Category",8,"Category2","Two-Year")</f>
        <v>2.3536723128421682E-2</v>
      </c>
      <c r="U166" s="807">
        <f t="shared" si="11"/>
        <v>0.50223672672405451</v>
      </c>
      <c r="V166" s="242">
        <f>+GETPIVOTDATA("Sum of Old-HS % of Total",'Pivot-HS Student % of Undergrad'!$A$3,"State","FL","Category",9,"Category2","Two-Year")</f>
        <v>5.8005013948815971E-2</v>
      </c>
      <c r="W166" s="807">
        <f t="shared" si="12"/>
        <v>1.1509093410680091</v>
      </c>
      <c r="X166" s="242">
        <f>+GETPIVOTDATA("Sum of Old-HS % of Total",'Pivot-HS Student % of Undergrad'!$A$3,"State","FL","Category",10,"Category2","Two-Year")</f>
        <v>2.8034644595068478E-2</v>
      </c>
      <c r="Y166" s="807">
        <f t="shared" si="13"/>
        <v>0.43105371904729739</v>
      </c>
      <c r="Z166" s="242">
        <f>+GETPIVOTDATA("Sum of Old-HS % of Total",'Pivot-HS Student % of Undergrad'!$A$3,"State","FL","Category2","Two-Year")</f>
        <v>2.0305551356788184E-2</v>
      </c>
      <c r="AA166" s="807">
        <f t="shared" si="14"/>
        <v>0.46363272724750415</v>
      </c>
      <c r="AC166" s="100" t="s">
        <v>82</v>
      </c>
      <c r="AD166" s="80">
        <f>+B166</f>
        <v>157768.67111111112</v>
      </c>
      <c r="AE166" s="80">
        <f>+D166</f>
        <v>200103.78111111111</v>
      </c>
      <c r="AF166" s="80">
        <f>+F166</f>
        <v>18118.97111111111</v>
      </c>
      <c r="AG166" s="80">
        <f>+H166</f>
        <v>1948.8255555555554</v>
      </c>
      <c r="AH166" s="80"/>
      <c r="AI166" s="80">
        <f>+J166</f>
        <v>377940.24888888886</v>
      </c>
      <c r="AJ166" s="796" t="s">
        <v>82</v>
      </c>
      <c r="AK166" s="790">
        <f>+'NEW-Tables 80-86'!R106+'NEW-Tables 80-86'!Q136</f>
        <v>159192.63333333333</v>
      </c>
      <c r="AL166" s="790">
        <f>+'NEW-Tables 80-86'!S106+'NEW-Tables 80-86'!R136</f>
        <v>196039.79333333333</v>
      </c>
      <c r="AM166" s="790">
        <f>+'NEW-Tables 80-86'!T106+'NEW-Tables 80-86'!S136</f>
        <v>18608.036666666667</v>
      </c>
      <c r="AN166" s="790">
        <f>+'NEW-Tables 80-86'!U106+'NEW-Tables 80-86'!T136</f>
        <v>2030.4288888888887</v>
      </c>
      <c r="AO166" s="790"/>
      <c r="AP166" s="791">
        <f>+'NEW-Tables 80-86'!V106+'NEW-Tables 80-86'!U136</f>
        <v>375870.89222222223</v>
      </c>
      <c r="AQ166" s="25"/>
      <c r="AZ166" s="25"/>
      <c r="BA166" s="25"/>
      <c r="BB166" s="25"/>
      <c r="BC166" s="25"/>
      <c r="BD166" s="25"/>
      <c r="BE166" s="25"/>
      <c r="BF166" s="25"/>
      <c r="BG166" s="25"/>
    </row>
    <row r="167" spans="1:88" ht="15" customHeight="1">
      <c r="B167" s="32"/>
      <c r="C167" s="96"/>
      <c r="D167" s="173"/>
      <c r="E167" s="96"/>
      <c r="F167" s="173"/>
      <c r="G167" s="96"/>
      <c r="H167" s="173"/>
      <c r="I167" s="96"/>
      <c r="J167" s="173"/>
      <c r="K167" s="96"/>
      <c r="R167" s="241"/>
      <c r="S167" s="807"/>
      <c r="T167" s="753"/>
      <c r="U167" s="807"/>
      <c r="V167" s="242"/>
      <c r="W167" s="807"/>
      <c r="X167" s="242"/>
      <c r="Y167" s="807"/>
      <c r="Z167" s="242"/>
      <c r="AA167" s="807"/>
      <c r="AC167" s="100"/>
      <c r="AD167" s="80"/>
      <c r="AE167" s="80"/>
      <c r="AF167" s="80"/>
      <c r="AG167" s="80"/>
      <c r="AH167" s="80"/>
      <c r="AI167" s="80"/>
      <c r="AJ167" s="796"/>
      <c r="AK167" s="790"/>
      <c r="AL167" s="790"/>
      <c r="AM167" s="790"/>
      <c r="AN167" s="790"/>
      <c r="AO167" s="790"/>
      <c r="AP167" s="791"/>
      <c r="AQ167" s="25"/>
      <c r="AZ167" s="25"/>
      <c r="BA167" s="25"/>
      <c r="BB167" s="25"/>
      <c r="BC167" s="25"/>
      <c r="BD167" s="25"/>
      <c r="BE167" s="25"/>
      <c r="BF167" s="25"/>
      <c r="BG167" s="25"/>
    </row>
    <row r="168" spans="1:88" ht="15" customHeight="1">
      <c r="A168" s="1" t="s">
        <v>83</v>
      </c>
      <c r="B168" s="32">
        <f>+'NEW-Tables 80-86'!B108+'NEW-Tables 80-86'!B138</f>
        <v>15149.266666666666</v>
      </c>
      <c r="C168" s="96">
        <f>+GETPIVOTDATA("Sum of New-HS % of Total",'Pivot-HS Student % of Undergrad'!$A$3,"State","GA","Category",7,"Category2","Two-Year")</f>
        <v>2.8522832788385796E-2</v>
      </c>
      <c r="D168" s="173">
        <f>+'NEW-Tables 80-86'!C108+'NEW-Tables 80-86'!C138</f>
        <v>20341.233333333334</v>
      </c>
      <c r="E168" s="96">
        <f>+GETPIVOTDATA("Sum of New-HS % of Total",'Pivot-HS Student % of Undergrad'!$A$3,"State","GA","Category",8,"Category2","Two-Year")</f>
        <v>1.265082254927184E-3</v>
      </c>
      <c r="F168" s="173">
        <f>+'NEW-Tables 80-86'!D108+'NEW-Tables 80-86'!D138</f>
        <v>26135.266666666663</v>
      </c>
      <c r="G168" s="96">
        <f>+GETPIVOTDATA("Sum of New-HS % of Total",'Pivot-HS Student % of Undergrad'!$A$3,"State","GA","Category",9,"Category2","Two-Year")</f>
        <v>1.2675720418642499E-2</v>
      </c>
      <c r="H168" s="173">
        <f>+'NEW-Tables 80-86'!E108+'NEW-Tables 80-86'!E138</f>
        <v>2721.1666666666665</v>
      </c>
      <c r="I168" s="96">
        <f>+GETPIVOTDATA("Sum of New-HS % of Total",'Pivot-HS Student % of Undergrad'!$A$3,"State","GA","Category",10,"Category2","Two-Year")</f>
        <v>1.914619954676303E-2</v>
      </c>
      <c r="J168" s="173">
        <f>+'NEW-Tables 80-86'!F108+'NEW-Tables 80-86'!F138</f>
        <v>64346.933333333327</v>
      </c>
      <c r="K168" s="96">
        <f>+GETPIVOTDATA("Sum of New-HS % of Total",'Pivot-HS Student % of Undergrad'!$A$3,"State","GA","Category2","Group2")</f>
        <v>1.3073143086850033E-2</v>
      </c>
      <c r="Q168" s="1" t="s">
        <v>83</v>
      </c>
      <c r="R168" s="241">
        <f>+GETPIVOTDATA("Sum of Old-HS % of Total",'Pivot-HS Student % of Undergrad'!$A$3,"State","GA","Category",7,"Category2","Two-Year")</f>
        <v>7.114256053897163E-3</v>
      </c>
      <c r="S168" s="807">
        <f t="shared" si="10"/>
        <v>2.1408576734488634</v>
      </c>
      <c r="T168" s="242">
        <f>+GETPIVOTDATA("Sum of Old-HS % of Total",'Pivot-HS Student % of Undergrad'!$A$3,"State","GA","Category",8,"Category2","Two-Year")</f>
        <v>1.5719588708066747E-2</v>
      </c>
      <c r="U168" s="807">
        <f t="shared" si="11"/>
        <v>-1.4454506453139564</v>
      </c>
      <c r="V168" s="242">
        <f>+GETPIVOTDATA("Sum of Old-HS % of Total",'Pivot-HS Student % of Undergrad'!$A$3,"State","GA","Category",9,"Category2","Two-Year")</f>
        <v>1.072308361107086E-2</v>
      </c>
      <c r="W168" s="807">
        <f t="shared" si="12"/>
        <v>0.19526368075716388</v>
      </c>
      <c r="X168" s="242">
        <f>+GETPIVOTDATA("Sum of Old-HS % of Total",'Pivot-HS Student % of Undergrad'!$A$3,"State","GA","Category",10,"Category2","Two-Year")</f>
        <v>1.660057399402189E-2</v>
      </c>
      <c r="Y168" s="807">
        <f t="shared" si="13"/>
        <v>0.25456255527411403</v>
      </c>
      <c r="Z168" s="242">
        <f>+GETPIVOTDATA("Sum of Old-HS % of Total",'Pivot-HS Student % of Undergrad'!$A$3,"State","GA","Category2","Two-Year")</f>
        <v>1.1605968903266201E-2</v>
      </c>
      <c r="AA168" s="807">
        <f t="shared" si="14"/>
        <v>0.1467174183583832</v>
      </c>
      <c r="AC168" s="100" t="s">
        <v>83</v>
      </c>
      <c r="AD168" s="80">
        <f>+B168</f>
        <v>15149.266666666666</v>
      </c>
      <c r="AE168" s="80">
        <f>+D168</f>
        <v>20341.233333333334</v>
      </c>
      <c r="AF168" s="80">
        <f>+F168</f>
        <v>26135.266666666663</v>
      </c>
      <c r="AG168" s="80">
        <f>+H168</f>
        <v>2721.1666666666665</v>
      </c>
      <c r="AH168" s="80"/>
      <c r="AI168" s="80">
        <f>+J168</f>
        <v>64346.933333333327</v>
      </c>
      <c r="AJ168" s="796" t="s">
        <v>83</v>
      </c>
      <c r="AK168" s="790">
        <f>+'NEW-Tables 80-86'!R108+'NEW-Tables 80-86'!Q138</f>
        <v>15733.666666666668</v>
      </c>
      <c r="AL168" s="790">
        <f>+'NEW-Tables 80-86'!S108+'NEW-Tables 80-86'!R138</f>
        <v>19360.133333333335</v>
      </c>
      <c r="AM168" s="790">
        <f>+'NEW-Tables 80-86'!T108+'NEW-Tables 80-86'!S138</f>
        <v>25993.766666666666</v>
      </c>
      <c r="AN168" s="790">
        <f>+'NEW-Tables 80-86'!U108+'NEW-Tables 80-86'!T138</f>
        <v>2799.1</v>
      </c>
      <c r="AO168" s="790"/>
      <c r="AP168" s="791">
        <f>+'NEW-Tables 80-86'!V108+'NEW-Tables 80-86'!U138</f>
        <v>63886.666666666664</v>
      </c>
      <c r="AQ168" s="25"/>
      <c r="AZ168" s="25"/>
      <c r="BA168" s="25"/>
      <c r="BB168" s="25"/>
      <c r="BC168" s="25"/>
      <c r="BD168" s="25"/>
      <c r="BE168" s="25"/>
      <c r="BF168" s="25"/>
      <c r="BG168" s="25"/>
    </row>
    <row r="169" spans="1:88" ht="15" customHeight="1">
      <c r="A169" s="1" t="s">
        <v>84</v>
      </c>
      <c r="B169" s="32">
        <f>+'NEW-Tables 80-86'!B109+'NEW-Tables 80-86'!B139</f>
        <v>0</v>
      </c>
      <c r="C169" s="96">
        <f>+GETPIVOTDATA("Sum of New-HS % of Total",'Pivot-HS Student % of Undergrad'!$A$3,"State","KY","Category",7,"Category2","Two-Year")</f>
        <v>0</v>
      </c>
      <c r="D169" s="173">
        <f>+'NEW-Tables 80-86'!C109+'NEW-Tables 80-86'!C139</f>
        <v>18423.433333333334</v>
      </c>
      <c r="E169" s="96">
        <f>+GETPIVOTDATA("Sum of New-HS % of Total",'Pivot-HS Student % of Undergrad'!$A$3,"State","KY","Category",8,"Category2","Two-Year")</f>
        <v>3.6234650436129348E-2</v>
      </c>
      <c r="F169" s="173">
        <f>+'NEW-Tables 80-86'!D109+'NEW-Tables 80-86'!D139</f>
        <v>33930.333333333328</v>
      </c>
      <c r="G169" s="96">
        <f>+GETPIVOTDATA("Sum of New-HS % of Total",'Pivot-HS Student % of Undergrad'!$A$3,"State","KY","Category",9,"Category2","Two-Year")</f>
        <v>6.9409869241877961E-2</v>
      </c>
      <c r="H169" s="173">
        <f>+'NEW-Tables 80-86'!E109+'NEW-Tables 80-86'!E139</f>
        <v>3719.9333333333334</v>
      </c>
      <c r="I169" s="96">
        <f>+GETPIVOTDATA("Sum of New-HS % of Total",'Pivot-HS Student % of Undergrad'!$A$3,"State","KY","Category",10,"Category2","Two-Year")</f>
        <v>5.7949067187584004E-2</v>
      </c>
      <c r="J169" s="173">
        <f>+'NEW-Tables 80-86'!F109+'NEW-Tables 80-86'!F139</f>
        <v>56073.7</v>
      </c>
      <c r="K169" s="96">
        <f>+GETPIVOTDATA("Sum of New-HS % of Total",'Pivot-HS Student % of Undergrad'!$A$3,"State","KY","Category2","Group2")</f>
        <v>5.7749592649197989E-2</v>
      </c>
      <c r="Q169" s="1" t="s">
        <v>84</v>
      </c>
      <c r="R169" s="241">
        <f>+GETPIVOTDATA("Sum of Old-HS % of Total",'Pivot-HS Student % of Undergrad'!$A$3,"State","KY","Category",7,"Category2","Two-Year")</f>
        <v>0</v>
      </c>
      <c r="S169" s="807">
        <f t="shared" si="10"/>
        <v>0</v>
      </c>
      <c r="T169" s="242">
        <f>+GETPIVOTDATA("Sum of Old-HS % of Total",'Pivot-HS Student % of Undergrad'!$A$3,"State","KY","Category",8,"Category2","Two-Year")</f>
        <v>3.2659506568143461E-2</v>
      </c>
      <c r="U169" s="807">
        <f t="shared" si="11"/>
        <v>0.35751438679858871</v>
      </c>
      <c r="V169" s="242">
        <f>+GETPIVOTDATA("Sum of Old-HS % of Total",'Pivot-HS Student % of Undergrad'!$A$3,"State","KY","Category",9,"Category2","Two-Year")</f>
        <v>6.7880042075401353E-2</v>
      </c>
      <c r="W169" s="807">
        <f t="shared" si="12"/>
        <v>0.15298271664766078</v>
      </c>
      <c r="X169" s="242">
        <f>+GETPIVOTDATA("Sum of Old-HS % of Total",'Pivot-HS Student % of Undergrad'!$A$3,"State","KY","Category",10,"Category2","Two-Year")</f>
        <v>5.0038303503029458E-2</v>
      </c>
      <c r="Y169" s="807">
        <f t="shared" si="13"/>
        <v>0.79107636845545459</v>
      </c>
      <c r="Z169" s="242">
        <f>+GETPIVOTDATA("Sum of Old-HS % of Total",'Pivot-HS Student % of Undergrad'!$A$3,"State","KY","Category2","Two-Year")</f>
        <v>5.5072077426604124E-2</v>
      </c>
      <c r="AA169" s="807">
        <f t="shared" si="14"/>
        <v>0.26775152225938653</v>
      </c>
      <c r="AC169" s="100" t="s">
        <v>84</v>
      </c>
      <c r="AD169" s="80">
        <f>+B169</f>
        <v>0</v>
      </c>
      <c r="AE169" s="80">
        <f>+D169</f>
        <v>18423.433333333334</v>
      </c>
      <c r="AF169" s="80">
        <f>+F169</f>
        <v>33930.333333333328</v>
      </c>
      <c r="AG169" s="80">
        <f>+H169</f>
        <v>3719.9333333333334</v>
      </c>
      <c r="AH169" s="80"/>
      <c r="AI169" s="80">
        <f>+J169</f>
        <v>56073.7</v>
      </c>
      <c r="AJ169" s="796" t="s">
        <v>84</v>
      </c>
      <c r="AK169" s="790">
        <f>+'NEW-Tables 80-86'!R109+'NEW-Tables 80-86'!Q139</f>
        <v>0</v>
      </c>
      <c r="AL169" s="790">
        <f>+'NEW-Tables 80-86'!S109+'NEW-Tables 80-86'!R139</f>
        <v>18440.776666666665</v>
      </c>
      <c r="AM169" s="790">
        <f>+'NEW-Tables 80-86'!T109+'NEW-Tables 80-86'!S139</f>
        <v>33774.286666666667</v>
      </c>
      <c r="AN169" s="790">
        <f>+'NEW-Tables 80-86'!U109+'NEW-Tables 80-86'!T139</f>
        <v>3829.0666666666666</v>
      </c>
      <c r="AO169" s="790"/>
      <c r="AP169" s="791">
        <f>+'NEW-Tables 80-86'!V109+'NEW-Tables 80-86'!U139</f>
        <v>56044.13</v>
      </c>
    </row>
    <row r="170" spans="1:88" ht="15" customHeight="1">
      <c r="A170" s="1" t="s">
        <v>85</v>
      </c>
      <c r="B170" s="32">
        <f>+'NEW-Tables 80-86'!B110+'NEW-Tables 80-86'!B140</f>
        <v>0</v>
      </c>
      <c r="C170" s="96">
        <f>+GETPIVOTDATA("Sum of New-HS % of Total",'Pivot-HS Student % of Undergrad'!$A$3,"State","LA","Category",7,"Category2","Two-Year")</f>
        <v>0</v>
      </c>
      <c r="D170" s="173">
        <f>+'NEW-Tables 80-86'!C110+'NEW-Tables 80-86'!C140</f>
        <v>19982.733333333334</v>
      </c>
      <c r="E170" s="96">
        <f>+GETPIVOTDATA("Sum of New-HS % of Total",'Pivot-HS Student % of Undergrad'!$A$3,"State","LA","Category",8,"Category2","Two-Year")</f>
        <v>6.1636546218235078E-3</v>
      </c>
      <c r="F170" s="173">
        <f>+'NEW-Tables 80-86'!D110+'NEW-Tables 80-86'!D140</f>
        <v>10089.266666666666</v>
      </c>
      <c r="G170" s="96">
        <f>+GETPIVOTDATA("Sum of New-HS % of Total",'Pivot-HS Student % of Undergrad'!$A$3,"State","LA","Category",9,"Category2","Two-Year")</f>
        <v>3.9345443012045803E-2</v>
      </c>
      <c r="H170" s="173">
        <f>+'NEW-Tables 80-86'!E110+'NEW-Tables 80-86'!E140</f>
        <v>7497.0333333333328</v>
      </c>
      <c r="I170" s="96">
        <f>+GETPIVOTDATA("Sum of New-HS % of Total",'Pivot-HS Student % of Undergrad'!$A$3,"State","LA","Category",10,"Category2","Two-Year")</f>
        <v>7.3002209762972906E-2</v>
      </c>
      <c r="J170" s="173">
        <f>+'NEW-Tables 80-86'!F110+'NEW-Tables 80-86'!F140</f>
        <v>37569.033333333333</v>
      </c>
      <c r="K170" s="96">
        <f>+GETPIVOTDATA("Sum of New-HS % of Total",'Pivot-HS Student % of Undergrad'!$A$3,"State","LA","Category2","Group2")</f>
        <v>2.8412584477819056E-2</v>
      </c>
      <c r="Q170" s="1" t="s">
        <v>85</v>
      </c>
      <c r="R170" s="241">
        <f>+GETPIVOTDATA("Sum of Old-HS % of Total",'Pivot-HS Student % of Undergrad'!$A$3,"State","LA","Category",7,"Category2","Two-Year")</f>
        <v>0</v>
      </c>
      <c r="S170" s="807">
        <f t="shared" si="10"/>
        <v>0</v>
      </c>
      <c r="T170" s="242">
        <f>+GETPIVOTDATA("Sum of Old-HS % of Total",'Pivot-HS Student % of Undergrad'!$A$3,"State","LA","Category",8,"Category2","Two-Year")</f>
        <v>5.8062288804963018E-3</v>
      </c>
      <c r="U170" s="807">
        <f t="shared" si="11"/>
        <v>3.5742574132720598E-2</v>
      </c>
      <c r="V170" s="242">
        <f>+GETPIVOTDATA("Sum of Old-HS % of Total",'Pivot-HS Student % of Undergrad'!$A$3,"State","LA","Category",9,"Category2","Two-Year")</f>
        <v>4.8697214106990593E-2</v>
      </c>
      <c r="W170" s="807">
        <f t="shared" si="12"/>
        <v>-0.93517710949447896</v>
      </c>
      <c r="X170" s="242">
        <f>+GETPIVOTDATA("Sum of Old-HS % of Total",'Pivot-HS Student % of Undergrad'!$A$3,"State","LA","Category",10,"Category2","Two-Year")</f>
        <v>5.9504046031759829E-2</v>
      </c>
      <c r="Y170" s="807">
        <f t="shared" si="13"/>
        <v>1.3498163731213078</v>
      </c>
      <c r="Z170" s="242">
        <f>+GETPIVOTDATA("Sum of Old-HS % of Total",'Pivot-HS Student % of Undergrad'!$A$3,"State","LA","Category2","Two-Year")</f>
        <v>2.8406650883664591E-2</v>
      </c>
      <c r="AA170" s="807">
        <f t="shared" si="14"/>
        <v>5.9335941544648441E-4</v>
      </c>
      <c r="AC170" s="100" t="s">
        <v>85</v>
      </c>
      <c r="AD170" s="80">
        <f>+B170</f>
        <v>0</v>
      </c>
      <c r="AE170" s="80">
        <f>+D170</f>
        <v>19982.733333333334</v>
      </c>
      <c r="AF170" s="80">
        <f>+F170</f>
        <v>10089.266666666666</v>
      </c>
      <c r="AG170" s="80">
        <f>+H170</f>
        <v>7497.0333333333328</v>
      </c>
      <c r="AH170" s="80"/>
      <c r="AI170" s="80">
        <f>+J170</f>
        <v>37569.033333333333</v>
      </c>
      <c r="AJ170" s="796" t="s">
        <v>85</v>
      </c>
      <c r="AK170" s="790">
        <f>+'NEW-Tables 80-86'!R110+'NEW-Tables 80-86'!Q140</f>
        <v>0</v>
      </c>
      <c r="AL170" s="790">
        <f>+'NEW-Tables 80-86'!S110+'NEW-Tables 80-86'!R140</f>
        <v>19117.400000000001</v>
      </c>
      <c r="AM170" s="790">
        <f>+'NEW-Tables 80-86'!T110+'NEW-Tables 80-86'!S140</f>
        <v>9538.5333333333328</v>
      </c>
      <c r="AN170" s="790">
        <f>+'NEW-Tables 80-86'!U110+'NEW-Tables 80-86'!T140</f>
        <v>7670.0666666666675</v>
      </c>
      <c r="AO170" s="790"/>
      <c r="AP170" s="791">
        <f>+'NEW-Tables 80-86'!V110+'NEW-Tables 80-86'!U140</f>
        <v>36326</v>
      </c>
      <c r="AQ170" s="25"/>
      <c r="AZ170" s="25"/>
      <c r="BA170" s="25"/>
      <c r="BB170" s="25"/>
      <c r="BC170" s="25"/>
      <c r="BD170" s="25"/>
      <c r="BE170" s="25"/>
      <c r="BF170" s="25"/>
      <c r="BG170" s="25"/>
    </row>
    <row r="171" spans="1:88" ht="15" customHeight="1">
      <c r="A171" s="1" t="s">
        <v>86</v>
      </c>
      <c r="B171" s="32">
        <f>+'NEW-Tables 80-86'!B111+'NEW-Tables 80-86'!B141</f>
        <v>0</v>
      </c>
      <c r="C171" s="96">
        <f>+GETPIVOTDATA("Sum of New-HS % of Total",'Pivot-HS Student % of Undergrad'!$A$3,"State","MD","Category",7,"Category2","Two-Year")</f>
        <v>0</v>
      </c>
      <c r="D171" s="173">
        <f>+'NEW-Tables 80-86'!C111+'NEW-Tables 80-86'!C141</f>
        <v>70204.950000000012</v>
      </c>
      <c r="E171" s="96">
        <f>+GETPIVOTDATA("Sum of New-HS % of Total",'Pivot-HS Student % of Undergrad'!$A$3,"State","MD","Category",8,"Category2","Two-Year")</f>
        <v>0</v>
      </c>
      <c r="F171" s="173">
        <f>+'NEW-Tables 80-86'!D111+'NEW-Tables 80-86'!D141</f>
        <v>24798.749999999996</v>
      </c>
      <c r="G171" s="96">
        <f>+GETPIVOTDATA("Sum of New-HS % of Total",'Pivot-HS Student % of Undergrad'!$A$3,"State","MD","Category",9,"Category2","Two-Year")</f>
        <v>0</v>
      </c>
      <c r="H171" s="173">
        <f>+'NEW-Tables 80-86'!E111+'NEW-Tables 80-86'!E141</f>
        <v>4195.625</v>
      </c>
      <c r="I171" s="96">
        <f>+GETPIVOTDATA("Sum of New-HS % of Total",'Pivot-HS Student % of Undergrad'!$A$3,"State","MD","Category",10,"Category2","Two-Year")</f>
        <v>0</v>
      </c>
      <c r="J171" s="173">
        <f>+'NEW-Tables 80-86'!F111+'NEW-Tables 80-86'!F141</f>
        <v>99199.325000000012</v>
      </c>
      <c r="K171" s="96">
        <f>+GETPIVOTDATA("Sum of New-HS % of Total",'Pivot-HS Student % of Undergrad'!$A$3,"State","MD","Category2","Group2")</f>
        <v>0</v>
      </c>
      <c r="Q171" s="1" t="s">
        <v>86</v>
      </c>
      <c r="R171" s="241">
        <f>+GETPIVOTDATA("Sum of Old-HS % of Total",'Pivot-HS Student % of Undergrad'!$A$3,"State","MD","Category",7,"Category2","Two-Year")</f>
        <v>0</v>
      </c>
      <c r="S171" s="807">
        <f t="shared" si="10"/>
        <v>0</v>
      </c>
      <c r="T171" s="242">
        <f>+GETPIVOTDATA("Sum of Old-HS % of Total",'Pivot-HS Student % of Undergrad'!$A$3,"State","MD","Category",8,"Category2","Two-Year")</f>
        <v>0</v>
      </c>
      <c r="U171" s="807">
        <f t="shared" si="11"/>
        <v>0</v>
      </c>
      <c r="V171" s="242">
        <f>+GETPIVOTDATA("Sum of Old-HS % of Total",'Pivot-HS Student % of Undergrad'!$A$3,"State","MD","Category",9,"Category2","Two-Year")</f>
        <v>0</v>
      </c>
      <c r="W171" s="807">
        <f t="shared" si="12"/>
        <v>0</v>
      </c>
      <c r="X171" s="242">
        <f>+GETPIVOTDATA("Sum of Old-HS % of Total",'Pivot-HS Student % of Undergrad'!$A$3,"State","MD","Category",10,"Category2","Two-Year")</f>
        <v>0</v>
      </c>
      <c r="Y171" s="807">
        <f t="shared" si="13"/>
        <v>0</v>
      </c>
      <c r="Z171" s="242">
        <f>+GETPIVOTDATA("Sum of Old-HS % of Total",'Pivot-HS Student % of Undergrad'!$A$3,"State","MD","Category2","Two-Year")</f>
        <v>0</v>
      </c>
      <c r="AA171" s="807">
        <f t="shared" si="14"/>
        <v>0</v>
      </c>
      <c r="AC171" s="100" t="s">
        <v>86</v>
      </c>
      <c r="AD171" s="80">
        <f>+B171</f>
        <v>0</v>
      </c>
      <c r="AE171" s="80">
        <f>+D171</f>
        <v>70204.950000000012</v>
      </c>
      <c r="AF171" s="80">
        <f>+F171</f>
        <v>24798.749999999996</v>
      </c>
      <c r="AG171" s="80">
        <f>+H171</f>
        <v>4195.625</v>
      </c>
      <c r="AH171" s="80"/>
      <c r="AI171" s="80">
        <f>+J171</f>
        <v>99199.325000000012</v>
      </c>
      <c r="AJ171" s="796" t="s">
        <v>86</v>
      </c>
      <c r="AK171" s="790">
        <f>+'NEW-Tables 80-86'!R111+'NEW-Tables 80-86'!Q141</f>
        <v>0</v>
      </c>
      <c r="AL171" s="790">
        <f>+'NEW-Tables 80-86'!S111+'NEW-Tables 80-86'!R141</f>
        <v>69967.32666666666</v>
      </c>
      <c r="AM171" s="790">
        <f>+'NEW-Tables 80-86'!T111+'NEW-Tables 80-86'!S141</f>
        <v>24506.716666666667</v>
      </c>
      <c r="AN171" s="790">
        <f>+'NEW-Tables 80-86'!U111+'NEW-Tables 80-86'!T141</f>
        <v>4122.5749999999998</v>
      </c>
      <c r="AO171" s="790"/>
      <c r="AP171" s="791">
        <f>+'NEW-Tables 80-86'!V111+'NEW-Tables 80-86'!U141</f>
        <v>98596.618333333332</v>
      </c>
    </row>
    <row r="172" spans="1:88" ht="15" customHeight="1">
      <c r="B172" s="32"/>
      <c r="C172" s="96"/>
      <c r="D172" s="173"/>
      <c r="E172" s="96"/>
      <c r="F172" s="173"/>
      <c r="G172" s="96"/>
      <c r="H172" s="173"/>
      <c r="I172" s="96"/>
      <c r="J172" s="173"/>
      <c r="K172" s="96"/>
      <c r="R172" s="241"/>
      <c r="S172" s="807"/>
      <c r="T172" s="242"/>
      <c r="U172" s="807"/>
      <c r="V172" s="242"/>
      <c r="W172" s="807"/>
      <c r="X172" s="242"/>
      <c r="Y172" s="807"/>
      <c r="Z172" s="242"/>
      <c r="AA172" s="807"/>
      <c r="AC172" s="100"/>
      <c r="AD172" s="80"/>
      <c r="AE172" s="80"/>
      <c r="AF172" s="80"/>
      <c r="AG172" s="80"/>
      <c r="AH172" s="80"/>
      <c r="AI172" s="80"/>
      <c r="AJ172" s="796"/>
      <c r="AK172" s="790"/>
      <c r="AL172" s="790"/>
      <c r="AM172" s="790"/>
      <c r="AN172" s="790"/>
      <c r="AO172" s="790"/>
      <c r="AP172" s="791"/>
    </row>
    <row r="173" spans="1:88" ht="15" customHeight="1">
      <c r="A173" s="1" t="s">
        <v>87</v>
      </c>
      <c r="B173" s="32">
        <f>+'NEW-Tables 80-86'!B113+'NEW-Tables 80-86'!B143</f>
        <v>0</v>
      </c>
      <c r="C173" s="96">
        <f>+GETPIVOTDATA("Sum of New-HS % of Total",'Pivot-HS Student % of Undergrad'!$A$3,"State","MS","Category",7,"Category2","Two-Year")</f>
        <v>0</v>
      </c>
      <c r="D173" s="173">
        <f>+'NEW-Tables 80-86'!C113+'NEW-Tables 80-86'!C143</f>
        <v>33757.566666666666</v>
      </c>
      <c r="E173" s="96">
        <f>+GETPIVOTDATA("Sum of New-HS % of Total",'Pivot-HS Student % of Undergrad'!$A$3,"State","MS","Category",8,"Category2","Two-Year")</f>
        <v>7.6634670547936412E-3</v>
      </c>
      <c r="F173" s="173">
        <f>+'NEW-Tables 80-86'!D113+'NEW-Tables 80-86'!D143</f>
        <v>34043.916666666672</v>
      </c>
      <c r="G173" s="96">
        <f>+GETPIVOTDATA("Sum of New-HS % of Total",'Pivot-HS Student % of Undergrad'!$A$3,"State","MS","Category",9,"Category2","Two-Year")</f>
        <v>8.3607693004379147E-3</v>
      </c>
      <c r="H173" s="173">
        <f>+'NEW-Tables 80-86'!E113+'NEW-Tables 80-86'!E143</f>
        <v>4316.0666666666666</v>
      </c>
      <c r="I173" s="96">
        <f>+GETPIVOTDATA("Sum of New-HS % of Total",'Pivot-HS Student % of Undergrad'!$A$3,"State","MS","Category",10,"Category2","Two-Year")</f>
        <v>1.0866375249069369E-2</v>
      </c>
      <c r="J173" s="173">
        <f>+'NEW-Tables 80-86'!F113+'NEW-Tables 80-86'!F143</f>
        <v>72117.55</v>
      </c>
      <c r="K173" s="96">
        <f>+GETPIVOTDATA("Sum of New-HS % of Total",'Pivot-HS Student % of Undergrad'!$A$3,"State","MS","Category2","Group2")</f>
        <v>8.1843231409460433E-3</v>
      </c>
      <c r="Q173" s="1" t="s">
        <v>87</v>
      </c>
      <c r="R173" s="241">
        <f>+GETPIVOTDATA("Sum of Old-HS % of Total",'Pivot-HS Student % of Undergrad'!$A$3,"State","MS","Category",7,"Category2","Two-Year")</f>
        <v>0</v>
      </c>
      <c r="S173" s="807">
        <f t="shared" si="10"/>
        <v>0</v>
      </c>
      <c r="T173" s="242">
        <f>+GETPIVOTDATA("Sum of Old-HS % of Total",'Pivot-HS Student % of Undergrad'!$A$3,"State","MS","Category",8,"Category2","Two-Year")</f>
        <v>6.529355811652462E-3</v>
      </c>
      <c r="U173" s="807">
        <f t="shared" si="11"/>
        <v>0.11341112431411793</v>
      </c>
      <c r="V173" s="242">
        <f>+GETPIVOTDATA("Sum of Old-HS % of Total",'Pivot-HS Student % of Undergrad'!$A$3,"State","MS","Category",9,"Category2","Two-Year")</f>
        <v>7.7094731875841814E-3</v>
      </c>
      <c r="W173" s="807">
        <f t="shared" si="12"/>
        <v>6.5129611285373326E-2</v>
      </c>
      <c r="X173" s="242">
        <f>+GETPIVOTDATA("Sum of Old-HS % of Total",'Pivot-HS Student % of Undergrad'!$A$3,"State","MS","Category",10,"Category2","Two-Year")</f>
        <v>1.3719524901021046E-2</v>
      </c>
      <c r="Y173" s="807">
        <f t="shared" si="13"/>
        <v>-0.28531496519516775</v>
      </c>
      <c r="Z173" s="242">
        <f>+GETPIVOTDATA("Sum of Old-HS % of Total",'Pivot-HS Student % of Undergrad'!$A$3,"State","MS","Category2","Two-Year")</f>
        <v>7.4779328596091509E-3</v>
      </c>
      <c r="AA173" s="807">
        <f t="shared" si="14"/>
        <v>7.0639028133689247E-2</v>
      </c>
      <c r="AC173" s="100" t="s">
        <v>87</v>
      </c>
      <c r="AD173" s="80">
        <f>+B173</f>
        <v>0</v>
      </c>
      <c r="AE173" s="80">
        <f>+D173</f>
        <v>33757.566666666666</v>
      </c>
      <c r="AF173" s="80">
        <f>+F173</f>
        <v>34043.916666666672</v>
      </c>
      <c r="AG173" s="80">
        <f>+H173</f>
        <v>4316.0666666666666</v>
      </c>
      <c r="AH173" s="80"/>
      <c r="AI173" s="80">
        <f>+J173</f>
        <v>72117.55</v>
      </c>
      <c r="AJ173" s="796" t="s">
        <v>87</v>
      </c>
      <c r="AK173" s="790">
        <f>+'NEW-Tables 80-86'!R113+'NEW-Tables 80-86'!Q143</f>
        <v>0</v>
      </c>
      <c r="AL173" s="790">
        <f>+'NEW-Tables 80-86'!S113+'NEW-Tables 80-86'!R143</f>
        <v>34868.166666666664</v>
      </c>
      <c r="AM173" s="790">
        <f>+'NEW-Tables 80-86'!T113+'NEW-Tables 80-86'!S143</f>
        <v>35043.466666666674</v>
      </c>
      <c r="AN173" s="790">
        <f>+'NEW-Tables 80-86'!U113+'NEW-Tables 80-86'!T143</f>
        <v>3999.166666666667</v>
      </c>
      <c r="AO173" s="790"/>
      <c r="AP173" s="791">
        <f>+'NEW-Tables 80-86'!V113+'NEW-Tables 80-86'!U143</f>
        <v>73910.8</v>
      </c>
    </row>
    <row r="174" spans="1:88" ht="15" customHeight="1">
      <c r="A174" s="1" t="s">
        <v>88</v>
      </c>
      <c r="B174" s="32">
        <f>+'NEW-Tables 80-86'!B114+'NEW-Tables 80-86'!B144</f>
        <v>0</v>
      </c>
      <c r="C174" s="96">
        <f>+GETPIVOTDATA("Sum of New-HS % of Total",'Pivot-HS Student % of Undergrad'!$A$3,"State","NC","Category",7,"Category2","Two-Year")</f>
        <v>0</v>
      </c>
      <c r="D174" s="173">
        <f>+'NEW-Tables 80-86'!C114+'NEW-Tables 80-86'!C144</f>
        <v>83722</v>
      </c>
      <c r="E174" s="96">
        <f>+GETPIVOTDATA("Sum of New-HS % of Total",'Pivot-HS Student % of Undergrad'!$A$3,"State","NC","Category",8,"Category2","Two-Year")</f>
        <v>2.3718576558929155E-2</v>
      </c>
      <c r="F174" s="173">
        <f>+'NEW-Tables 80-86'!D114+'NEW-Tables 80-86'!D144</f>
        <v>68913.233333333337</v>
      </c>
      <c r="G174" s="96">
        <f>+GETPIVOTDATA("Sum of New-HS % of Total",'Pivot-HS Student % of Undergrad'!$A$3,"State","NC","Category",9,"Category2","Two-Year")</f>
        <v>6.4391599678242734E-2</v>
      </c>
      <c r="H174" s="173">
        <f>+'NEW-Tables 80-86'!E114+'NEW-Tables 80-86'!E144</f>
        <v>28417.5</v>
      </c>
      <c r="I174" s="96">
        <f>+GETPIVOTDATA("Sum of New-HS % of Total",'Pivot-HS Student % of Undergrad'!$A$3,"State","NC","Category",10,"Category2","Two-Year")</f>
        <v>8.1172986129439018E-2</v>
      </c>
      <c r="J174" s="173">
        <f>+'NEW-Tables 80-86'!F114+'NEW-Tables 80-86'!F144</f>
        <v>181052.73333333334</v>
      </c>
      <c r="K174" s="96">
        <f>+GETPIVOTDATA("Sum of New-HS % of Total",'Pivot-HS Student % of Undergrad'!$A$3,"State","NC","Category2","Group2")</f>
        <v>4.8217627939705229E-2</v>
      </c>
      <c r="Q174" s="1" t="s">
        <v>88</v>
      </c>
      <c r="R174" s="241">
        <f>+GETPIVOTDATA("Sum of Old-HS % of Total",'Pivot-HS Student % of Undergrad'!$A$3,"State","NC","Category",7,"Category2","Two-Year")</f>
        <v>0</v>
      </c>
      <c r="S174" s="807">
        <f t="shared" si="10"/>
        <v>0</v>
      </c>
      <c r="T174" s="242">
        <f>+GETPIVOTDATA("Sum of Old-HS % of Total",'Pivot-HS Student % of Undergrad'!$A$3,"State","NC","Category",8,"Category2","Two-Year")</f>
        <v>2.4309036112796435E-2</v>
      </c>
      <c r="U174" s="807">
        <f t="shared" si="11"/>
        <v>-5.9045955386727994E-2</v>
      </c>
      <c r="V174" s="242">
        <f>+GETPIVOTDATA("Sum of Old-HS % of Total",'Pivot-HS Student % of Undergrad'!$A$3,"State","NC","Category",9,"Category2","Two-Year")</f>
        <v>6.3909502415517946E-2</v>
      </c>
      <c r="W174" s="807">
        <f t="shared" si="12"/>
        <v>4.8209726272478715E-2</v>
      </c>
      <c r="X174" s="242">
        <f>+GETPIVOTDATA("Sum of Old-HS % of Total",'Pivot-HS Student % of Undergrad'!$A$3,"State","NC","Category",10,"Category2","Two-Year")</f>
        <v>7.5532335498446762E-2</v>
      </c>
      <c r="Y174" s="807">
        <f t="shared" si="13"/>
        <v>0.56406506309922555</v>
      </c>
      <c r="Z174" s="242">
        <f>+GETPIVOTDATA("Sum of Old-HS % of Total",'Pivot-HS Student % of Undergrad'!$A$3,"State","NC","Category2","Two-Year")</f>
        <v>4.8138810841972829E-2</v>
      </c>
      <c r="AA174" s="807">
        <f t="shared" si="14"/>
        <v>7.8817097732400421E-3</v>
      </c>
      <c r="AC174" s="100" t="s">
        <v>88</v>
      </c>
      <c r="AD174" s="80">
        <f>+B174</f>
        <v>0</v>
      </c>
      <c r="AE174" s="80">
        <f>+D174</f>
        <v>83722</v>
      </c>
      <c r="AF174" s="80">
        <f>+F174</f>
        <v>68913.233333333337</v>
      </c>
      <c r="AG174" s="80">
        <f>+H174</f>
        <v>28417.5</v>
      </c>
      <c r="AH174" s="80"/>
      <c r="AI174" s="80">
        <f>+J174</f>
        <v>181052.73333333334</v>
      </c>
      <c r="AJ174" s="796" t="s">
        <v>88</v>
      </c>
      <c r="AK174" s="790">
        <f>+'NEW-Tables 80-86'!R114+'NEW-Tables 80-86'!Q144</f>
        <v>0</v>
      </c>
      <c r="AL174" s="790">
        <f>+'NEW-Tables 80-86'!S114+'NEW-Tables 80-86'!R144</f>
        <v>80872.533333333326</v>
      </c>
      <c r="AM174" s="790">
        <f>+'NEW-Tables 80-86'!T114+'NEW-Tables 80-86'!S144</f>
        <v>70944.066666666666</v>
      </c>
      <c r="AN174" s="790">
        <f>+'NEW-Tables 80-86'!U114+'NEW-Tables 80-86'!T144</f>
        <v>29508.333333333332</v>
      </c>
      <c r="AO174" s="790"/>
      <c r="AP174" s="791">
        <f>+'NEW-Tables 80-86'!V114+'NEW-Tables 80-86'!U144</f>
        <v>181324.93333333332</v>
      </c>
      <c r="AQ174" s="25"/>
      <c r="AZ174" s="25"/>
      <c r="BA174" s="25"/>
      <c r="BB174" s="25"/>
      <c r="BC174" s="25"/>
      <c r="BD174" s="25"/>
      <c r="BE174" s="25"/>
      <c r="BF174" s="25"/>
      <c r="BG174" s="25"/>
    </row>
    <row r="175" spans="1:88" ht="15" customHeight="1">
      <c r="A175" s="1" t="s">
        <v>89</v>
      </c>
      <c r="B175" s="32">
        <f>+'NEW-Tables 80-86'!B115+'NEW-Tables 80-86'!B145</f>
        <v>8835.7333333333336</v>
      </c>
      <c r="C175" s="96">
        <f>+GETPIVOTDATA("Sum of New-HS % of Total",'Pivot-HS Student % of Undergrad'!$A$3,"State","OK","Category",7,"Category2","Two-Year")</f>
        <v>2.9927717752157905E-2</v>
      </c>
      <c r="D175" s="173">
        <f>+'NEW-Tables 80-86'!C115+'NEW-Tables 80-86'!C145</f>
        <v>28434.266666666663</v>
      </c>
      <c r="E175" s="96">
        <f>+GETPIVOTDATA("Sum of New-HS % of Total",'Pivot-HS Student % of Undergrad'!$A$3,"State","OK","Category",8,"Category2","Two-Year")</f>
        <v>4.3403030146724378E-2</v>
      </c>
      <c r="F175" s="173">
        <f>+'NEW-Tables 80-86'!D115+'NEW-Tables 80-86'!D145</f>
        <v>4011</v>
      </c>
      <c r="G175" s="96">
        <f>+GETPIVOTDATA("Sum of New-HS % of Total",'Pivot-HS Student % of Undergrad'!$A$3,"State","OK","Category",9,"Category2","Two-Year")</f>
        <v>5.6411534945566361E-2</v>
      </c>
      <c r="H175" s="173">
        <f>+'NEW-Tables 80-86'!E115+'NEW-Tables 80-86'!E145</f>
        <v>15021.266666666668</v>
      </c>
      <c r="I175" s="96">
        <f>+GETPIVOTDATA("Sum of New-HS % of Total",'Pivot-HS Student % of Undergrad'!$A$3,"State","OK","Category",10,"Category2","Two-Year")</f>
        <v>6.194772744420133E-2</v>
      </c>
      <c r="J175" s="173">
        <f>+'NEW-Tables 80-86'!F115+'NEW-Tables 80-86'!F145</f>
        <v>56302.26666666667</v>
      </c>
      <c r="K175" s="96">
        <f>+GETPIVOTDATA("Sum of New-HS % of Total",'Pivot-HS Student % of Undergrad'!$A$3,"State","OK","Category2","Group2")</f>
        <v>4.7162695640436028E-2</v>
      </c>
      <c r="Q175" s="1" t="s">
        <v>89</v>
      </c>
      <c r="R175" s="241">
        <f>+GETPIVOTDATA("Sum of Old-HS % of Total",'Pivot-HS Student % of Undergrad'!$A$3,"State","OK","Category",7,"Category2","Two-Year")</f>
        <v>6.6345276263134493E-3</v>
      </c>
      <c r="S175" s="807">
        <f t="shared" si="10"/>
        <v>2.3293190125844454</v>
      </c>
      <c r="T175" s="242">
        <f>+GETPIVOTDATA("Sum of Old-HS % of Total",'Pivot-HS Student % of Undergrad'!$A$3,"State","OK","Category",8,"Category2","Two-Year")</f>
        <v>1.199576008941685E-2</v>
      </c>
      <c r="U175" s="807">
        <f t="shared" si="11"/>
        <v>3.1407270057307528</v>
      </c>
      <c r="V175" s="242">
        <f>+GETPIVOTDATA("Sum of Old-HS % of Total",'Pivot-HS Student % of Undergrad'!$A$3,"State","OK","Category",9,"Category2","Two-Year")</f>
        <v>2.7581241555855791E-2</v>
      </c>
      <c r="W175" s="807">
        <f t="shared" si="12"/>
        <v>2.8830293389710571</v>
      </c>
      <c r="X175" s="242">
        <f>+GETPIVOTDATA("Sum of Old-HS % of Total",'Pivot-HS Student % of Undergrad'!$A$3,"State","OK","Category",10,"Category2","Two-Year")</f>
        <v>2.6109391124871002E-2</v>
      </c>
      <c r="Y175" s="807">
        <f t="shared" si="13"/>
        <v>3.5838336319330324</v>
      </c>
      <c r="Z175" s="242">
        <f>+GETPIVOTDATA("Sum of Old-HS % of Total",'Pivot-HS Student % of Undergrad'!$A$3,"State","OK","Category2","Two-Year")</f>
        <v>1.596431457154995E-2</v>
      </c>
      <c r="AA175" s="807">
        <f t="shared" si="14"/>
        <v>3.1198381068886079</v>
      </c>
      <c r="AC175" s="100" t="s">
        <v>89</v>
      </c>
      <c r="AD175" s="80">
        <f>+B175</f>
        <v>8835.7333333333336</v>
      </c>
      <c r="AE175" s="80">
        <f>+D175</f>
        <v>28434.266666666663</v>
      </c>
      <c r="AF175" s="80">
        <f>+F175</f>
        <v>4011</v>
      </c>
      <c r="AG175" s="80">
        <f>+H175</f>
        <v>15021.266666666668</v>
      </c>
      <c r="AH175" s="80"/>
      <c r="AI175" s="80">
        <f>+J175</f>
        <v>56302.26666666667</v>
      </c>
      <c r="AJ175" s="796" t="s">
        <v>89</v>
      </c>
      <c r="AK175" s="790">
        <f>+'NEW-Tables 80-86'!R115+'NEW-Tables 80-86'!Q145</f>
        <v>8546.2000000000007</v>
      </c>
      <c r="AL175" s="790">
        <f>+'NEW-Tables 80-86'!S115+'NEW-Tables 80-86'!R145</f>
        <v>28868.533333333333</v>
      </c>
      <c r="AM175" s="790">
        <f>+'NEW-Tables 80-86'!T115+'NEW-Tables 80-86'!S145</f>
        <v>3750.1333333333332</v>
      </c>
      <c r="AN175" s="790">
        <f>+'NEW-Tables 80-86'!U115+'NEW-Tables 80-86'!T145</f>
        <v>14858</v>
      </c>
      <c r="AO175" s="790"/>
      <c r="AP175" s="791">
        <f>+'NEW-Tables 80-86'!V115+'NEW-Tables 80-86'!U145</f>
        <v>56022.866666666669</v>
      </c>
    </row>
    <row r="176" spans="1:88" ht="15" customHeight="1">
      <c r="A176" s="1" t="s">
        <v>90</v>
      </c>
      <c r="B176" s="32">
        <f>+'NEW-Tables 80-86'!B116+'NEW-Tables 80-86'!B146</f>
        <v>0</v>
      </c>
      <c r="C176" s="96">
        <f>+GETPIVOTDATA("Sum of New-HS % of Total",'Pivot-HS Student % of Undergrad'!$A$3,"State","SC","Category",7,"Category2","Two-Year")</f>
        <v>0</v>
      </c>
      <c r="D176" s="173">
        <f>+'NEW-Tables 80-86'!C116+'NEW-Tables 80-86'!C146</f>
        <v>47289.093000000001</v>
      </c>
      <c r="E176" s="96">
        <f>+GETPIVOTDATA("Sum of New-HS % of Total",'Pivot-HS Student % of Undergrad'!$A$3,"State","SC","Category",8,"Category2","Two-Year")</f>
        <v>2.107815150243348E-2</v>
      </c>
      <c r="F176" s="173">
        <f>+'NEW-Tables 80-86'!D116+'NEW-Tables 80-86'!D146</f>
        <v>28035.330666666672</v>
      </c>
      <c r="G176" s="96">
        <f>+GETPIVOTDATA("Sum of New-HS % of Total",'Pivot-HS Student % of Undergrad'!$A$3,"State","SC","Category",9,"Category2","Two-Year")</f>
        <v>3.5817899870915257E-2</v>
      </c>
      <c r="H176" s="173">
        <f>+'NEW-Tables 80-86'!E116+'NEW-Tables 80-86'!E146</f>
        <v>8309.9860000000008</v>
      </c>
      <c r="I176" s="96">
        <f>+GETPIVOTDATA("Sum of New-HS % of Total",'Pivot-HS Student % of Undergrad'!$A$3,"State","SC","Category",10,"Category2","Two-Year")</f>
        <v>7.510556019447949E-2</v>
      </c>
      <c r="J176" s="173">
        <f>+'NEW-Tables 80-86'!F116+'NEW-Tables 80-86'!F146</f>
        <v>83634.409666666674</v>
      </c>
      <c r="K176" s="96">
        <f>+GETPIVOTDATA("Sum of New-HS % of Total",'Pivot-HS Student % of Undergrad'!$A$3,"State","SC","Category2","Group2")</f>
        <v>3.0710994345754673E-2</v>
      </c>
      <c r="Q176" s="1" t="s">
        <v>90</v>
      </c>
      <c r="R176" s="241">
        <f>+GETPIVOTDATA("Sum of Old-HS % of Total",'Pivot-HS Student % of Undergrad'!$A$3,"State","SC","Category",7,"Category2","Two-Year")</f>
        <v>0</v>
      </c>
      <c r="S176" s="807">
        <f t="shared" si="10"/>
        <v>0</v>
      </c>
      <c r="T176" s="242">
        <f>+GETPIVOTDATA("Sum of Old-HS % of Total",'Pivot-HS Student % of Undergrad'!$A$3,"State","SC","Category",8,"Category2","Two-Year")</f>
        <v>1.8218024555093682E-2</v>
      </c>
      <c r="U176" s="807">
        <f t="shared" si="11"/>
        <v>0.28601269473397978</v>
      </c>
      <c r="V176" s="242">
        <f>+GETPIVOTDATA("Sum of Old-HS % of Total",'Pivot-HS Student % of Undergrad'!$A$3,"State","SC","Category",9,"Category2","Two-Year")</f>
        <v>3.1225554106910039E-2</v>
      </c>
      <c r="W176" s="807">
        <f t="shared" si="12"/>
        <v>0.45923457640052179</v>
      </c>
      <c r="X176" s="242">
        <f>+GETPIVOTDATA("Sum of Old-HS % of Total",'Pivot-HS Student % of Undergrad'!$A$3,"State","SC","Category",10,"Category2","Two-Year")</f>
        <v>6.1466695392339614E-2</v>
      </c>
      <c r="Y176" s="807">
        <f t="shared" si="13"/>
        <v>1.3638864802139876</v>
      </c>
      <c r="Z176" s="242">
        <f>+GETPIVOTDATA("Sum of Old-HS % of Total",'Pivot-HS Student % of Undergrad'!$A$3,"State","SC","Category2","Two-Year")</f>
        <v>2.6403561837433375E-2</v>
      </c>
      <c r="AA176" s="807">
        <f t="shared" si="14"/>
        <v>0.43074325083212983</v>
      </c>
      <c r="AC176" s="100" t="s">
        <v>90</v>
      </c>
      <c r="AD176" s="80">
        <f>+B176</f>
        <v>0</v>
      </c>
      <c r="AE176" s="80">
        <f>+D176</f>
        <v>47289.093000000001</v>
      </c>
      <c r="AF176" s="80">
        <f>+F176</f>
        <v>28035.330666666672</v>
      </c>
      <c r="AG176" s="80">
        <f>+H176</f>
        <v>8309.9860000000008</v>
      </c>
      <c r="AH176" s="80"/>
      <c r="AI176" s="80">
        <f>+J176</f>
        <v>83634.409666666674</v>
      </c>
      <c r="AJ176" s="796" t="s">
        <v>90</v>
      </c>
      <c r="AK176" s="790">
        <f>+'NEW-Tables 80-86'!R116+'NEW-Tables 80-86'!Q146</f>
        <v>0</v>
      </c>
      <c r="AL176" s="790">
        <f>+'NEW-Tables 80-86'!S116+'NEW-Tables 80-86'!R146</f>
        <v>47656.1</v>
      </c>
      <c r="AM176" s="790">
        <f>+'NEW-Tables 80-86'!T116+'NEW-Tables 80-86'!S146</f>
        <v>29146.000000000004</v>
      </c>
      <c r="AN176" s="790">
        <f>+'NEW-Tables 80-86'!U116+'NEW-Tables 80-86'!T146</f>
        <v>8331.5333333333347</v>
      </c>
      <c r="AO176" s="790"/>
      <c r="AP176" s="791">
        <f>+'NEW-Tables 80-86'!V116+'NEW-Tables 80-86'!U146</f>
        <v>85133.633333333346</v>
      </c>
      <c r="AQ176" s="25"/>
      <c r="AZ176" s="25"/>
      <c r="BA176" s="25"/>
      <c r="BB176" s="25"/>
      <c r="BC176" s="25"/>
      <c r="BD176" s="25"/>
      <c r="BE176" s="25"/>
      <c r="BF176" s="25"/>
      <c r="BG176" s="25"/>
    </row>
    <row r="177" spans="1:88" ht="15" customHeight="1">
      <c r="B177" s="32"/>
      <c r="C177" s="96"/>
      <c r="D177" s="173"/>
      <c r="E177" s="96"/>
      <c r="F177" s="173"/>
      <c r="G177" s="96"/>
      <c r="H177" s="173"/>
      <c r="I177" s="96"/>
      <c r="J177" s="173"/>
      <c r="K177" s="96"/>
      <c r="R177" s="241"/>
      <c r="S177" s="807"/>
      <c r="T177" s="242"/>
      <c r="U177" s="807"/>
      <c r="V177" s="242"/>
      <c r="W177" s="807"/>
      <c r="X177" s="242"/>
      <c r="Y177" s="807"/>
      <c r="Z177" s="242"/>
      <c r="AA177" s="807"/>
      <c r="AC177" s="100"/>
      <c r="AD177" s="80"/>
      <c r="AE177" s="80"/>
      <c r="AF177" s="80"/>
      <c r="AG177" s="80"/>
      <c r="AH177" s="80"/>
      <c r="AI177" s="80"/>
      <c r="AJ177" s="796"/>
      <c r="AK177" s="790"/>
      <c r="AL177" s="790"/>
      <c r="AM177" s="790"/>
      <c r="AN177" s="790"/>
      <c r="AO177" s="790"/>
      <c r="AP177" s="791"/>
      <c r="AQ177" s="25"/>
      <c r="AZ177" s="25"/>
      <c r="BA177" s="25"/>
      <c r="BB177" s="25"/>
      <c r="BC177" s="25"/>
      <c r="BD177" s="25"/>
      <c r="BE177" s="25"/>
      <c r="BF177" s="25"/>
      <c r="BG177" s="25"/>
    </row>
    <row r="178" spans="1:88" ht="11.25" customHeight="1">
      <c r="A178" s="1" t="s">
        <v>91</v>
      </c>
      <c r="B178" s="32">
        <f>+'NEW-Tables 80-86'!B118+'NEW-Tables 80-86'!B148</f>
        <v>0</v>
      </c>
      <c r="C178" s="96">
        <f>+GETPIVOTDATA("Sum of New-HS % of Total",'Pivot-HS Student % of Undergrad'!$A$3,"State","TN","Category",7,"Category2","Two-Year")</f>
        <v>0</v>
      </c>
      <c r="D178" s="173">
        <f>+'NEW-Tables 80-86'!C118+'NEW-Tables 80-86'!C148</f>
        <v>37019.933333333334</v>
      </c>
      <c r="E178" s="96">
        <f>+GETPIVOTDATA("Sum of New-HS % of Total",'Pivot-HS Student % of Undergrad'!$A$3,"State","TN","Category",8,"Category2","Two-Year")</f>
        <v>3.1815292301985057E-2</v>
      </c>
      <c r="F178" s="173">
        <f>+'NEW-Tables 80-86'!D118+'NEW-Tables 80-86'!D148</f>
        <v>29790.466666666667</v>
      </c>
      <c r="G178" s="96">
        <f>+GETPIVOTDATA("Sum of New-HS % of Total",'Pivot-HS Student % of Undergrad'!$A$3,"State","TN","Category",9,"Category2","Two-Year")</f>
        <v>5.0700783472117476E-2</v>
      </c>
      <c r="H178" s="173">
        <f>+'NEW-Tables 80-86'!E118+'NEW-Tables 80-86'!E148</f>
        <v>0</v>
      </c>
      <c r="I178" s="96">
        <f>+GETPIVOTDATA("Sum of New-HS % of Total",'Pivot-HS Student % of Undergrad'!$A$3,"State","TN","Category",10,"Category2","Two-Year")</f>
        <v>0</v>
      </c>
      <c r="J178" s="173">
        <f>+'NEW-Tables 80-86'!F118+'NEW-Tables 80-86'!F148</f>
        <v>66810.399999999994</v>
      </c>
      <c r="K178" s="96">
        <f>+GETPIVOTDATA("Sum of New-HS % of Total",'Pivot-HS Student % of Undergrad'!$A$3,"State","TN","Category2","Group2")</f>
        <v>4.0236250643612373E-2</v>
      </c>
      <c r="Q178" s="1" t="s">
        <v>91</v>
      </c>
      <c r="R178" s="241">
        <f>+GETPIVOTDATA("Sum of Old-HS % of Total",'Pivot-HS Student % of Undergrad'!$A$3,"State","TN","Category",7,"Category2","Two-Year")</f>
        <v>0</v>
      </c>
      <c r="S178" s="807">
        <f t="shared" si="10"/>
        <v>0</v>
      </c>
      <c r="T178" s="242">
        <f>+GETPIVOTDATA("Sum of Old-HS % of Total",'Pivot-HS Student % of Undergrad'!$A$3,"State","TN","Category",8,"Category2","Two-Year")</f>
        <v>2.8853810824739916E-2</v>
      </c>
      <c r="U178" s="807">
        <f t="shared" si="11"/>
        <v>0.29614814772451414</v>
      </c>
      <c r="V178" s="242">
        <f>+GETPIVOTDATA("Sum of Old-HS % of Total",'Pivot-HS Student % of Undergrad'!$A$3,"State","TN","Category",9,"Category2","Two-Year")</f>
        <v>4.2111315194087298E-2</v>
      </c>
      <c r="W178" s="807">
        <f t="shared" si="12"/>
        <v>0.85894682780301779</v>
      </c>
      <c r="X178" s="242">
        <f>+GETPIVOTDATA("Sum of Old-HS % of Total",'Pivot-HS Student % of Undergrad'!$A$3,"State","TN","Category",10,"Category2","Two-Year")</f>
        <v>0</v>
      </c>
      <c r="Y178" s="807">
        <f t="shared" si="13"/>
        <v>0</v>
      </c>
      <c r="Z178" s="242">
        <f>+GETPIVOTDATA("Sum of Old-HS % of Total",'Pivot-HS Student % of Undergrad'!$A$3,"State","TN","Category2","Two-Year")</f>
        <v>3.4872108539263501E-2</v>
      </c>
      <c r="AA178" s="807">
        <f t="shared" si="14"/>
        <v>0.53641421043488724</v>
      </c>
      <c r="AC178" s="100" t="s">
        <v>91</v>
      </c>
      <c r="AD178" s="80">
        <f>+B178</f>
        <v>0</v>
      </c>
      <c r="AE178" s="80">
        <f>+D178</f>
        <v>37019.933333333334</v>
      </c>
      <c r="AF178" s="80">
        <f>+F178</f>
        <v>29790.466666666667</v>
      </c>
      <c r="AG178" s="80">
        <f>+H178</f>
        <v>0</v>
      </c>
      <c r="AH178" s="80"/>
      <c r="AI178" s="80">
        <f>+J178</f>
        <v>66810.399999999994</v>
      </c>
      <c r="AJ178" s="796" t="s">
        <v>91</v>
      </c>
      <c r="AK178" s="790">
        <f>+'NEW-Tables 80-86'!R118+'NEW-Tables 80-86'!Q148</f>
        <v>0</v>
      </c>
      <c r="AL178" s="790">
        <f>+'NEW-Tables 80-86'!S118+'NEW-Tables 80-86'!R148</f>
        <v>36542.833333333336</v>
      </c>
      <c r="AM178" s="790">
        <f>+'NEW-Tables 80-86'!T118+'NEW-Tables 80-86'!S148</f>
        <v>30379.800000000003</v>
      </c>
      <c r="AN178" s="790">
        <f>+'NEW-Tables 80-86'!U118+'NEW-Tables 80-86'!T148</f>
        <v>0</v>
      </c>
      <c r="AO178" s="790"/>
      <c r="AP178" s="791">
        <f>+'NEW-Tables 80-86'!V118+'NEW-Tables 80-86'!U148</f>
        <v>66922.633333333331</v>
      </c>
      <c r="AQ178" s="25"/>
      <c r="AZ178" s="25"/>
      <c r="BA178" s="25"/>
      <c r="BB178" s="25"/>
      <c r="BC178" s="25"/>
      <c r="BD178" s="25"/>
      <c r="BE178" s="25"/>
      <c r="BF178" s="25"/>
      <c r="BG178" s="25"/>
    </row>
    <row r="179" spans="1:88" ht="15" customHeight="1">
      <c r="A179" s="1" t="s">
        <v>92</v>
      </c>
      <c r="B179" s="32">
        <f>+'NEW-Tables 80-86'!B119+'NEW-Tables 80-86'!B149</f>
        <v>26065.594444444443</v>
      </c>
      <c r="C179" s="210">
        <f>+GETPIVOTDATA("Sum of New-HS % of Total",'Pivot-HS Student % of Undergrad'!$A$3,"State","TX","Category",7,"Category2","Two-Year")</f>
        <v>0.16606432842216032</v>
      </c>
      <c r="D179" s="173">
        <f>+'NEW-Tables 80-86'!C119+'NEW-Tables 80-86'!C149</f>
        <v>392020.74111111113</v>
      </c>
      <c r="E179" s="210">
        <f>+GETPIVOTDATA("Sum of New-HS % of Total",'Pivot-HS Student % of Undergrad'!$A$3,"State","TX","Category",8,"Category2","Two-Year")</f>
        <v>5.7896742167900535E-2</v>
      </c>
      <c r="F179" s="173">
        <f>+'NEW-Tables 80-86'!D119+'NEW-Tables 80-86'!D149</f>
        <v>85034.243333333317</v>
      </c>
      <c r="G179" s="210">
        <f>+GETPIVOTDATA("Sum of New-HS % of Total",'Pivot-HS Student % of Undergrad'!$A$3,"State","TX","Category",9,"Category2","Two-Year")</f>
        <v>9.0796477634604328E-2</v>
      </c>
      <c r="H179" s="173">
        <f>+'NEW-Tables 80-86'!E119+'NEW-Tables 80-86'!E149</f>
        <v>14735.096666666668</v>
      </c>
      <c r="I179" s="210">
        <f>+GETPIVOTDATA("Sum of New-HS % of Total",'Pivot-HS Student % of Undergrad'!$A$3,"State","TX","Category",10,"Category2","Two-Year")</f>
        <v>8.496135061339076E-2</v>
      </c>
      <c r="J179" s="173">
        <f>+'NEW-Tables 80-86'!F119+'NEW-Tables 80-86'!F149</f>
        <v>517855.67555555562</v>
      </c>
      <c r="K179" s="210">
        <f>+GETPIVOTDATA("Sum of New-HS % of Total",'Pivot-HS Student % of Undergrad'!$A$3,"State","TX","Category2","Group2")</f>
        <v>6.9504685673104735E-2</v>
      </c>
      <c r="Q179" s="1" t="s">
        <v>92</v>
      </c>
      <c r="R179" s="241">
        <f>+GETPIVOTDATA("Sum of Old-HS % of Total",'Pivot-HS Student % of Undergrad'!$A$3,"State","TX","Category",7,"Category2","Two-Year")</f>
        <v>0.15903762301064286</v>
      </c>
      <c r="S179" s="807">
        <f t="shared" si="10"/>
        <v>0.70267054115174532</v>
      </c>
      <c r="T179" s="242">
        <f>+GETPIVOTDATA("Sum of Old-HS % of Total",'Pivot-HS Student % of Undergrad'!$A$3,"State","TX","Category",8,"Category2","Two-Year")</f>
        <v>5.6787714690661135E-2</v>
      </c>
      <c r="U179" s="807">
        <f t="shared" si="11"/>
        <v>0.11090274772393993</v>
      </c>
      <c r="V179" s="242">
        <f>+GETPIVOTDATA("Sum of Old-HS % of Total",'Pivot-HS Student % of Undergrad'!$A$3,"State","TX","Category",9,"Category2","Two-Year")</f>
        <v>8.6544514733800398E-2</v>
      </c>
      <c r="W179" s="807">
        <f t="shared" si="12"/>
        <v>0.42519629008039295</v>
      </c>
      <c r="X179" s="242">
        <f>+GETPIVOTDATA("Sum of Old-HS % of Total",'Pivot-HS Student % of Undergrad'!$A$3,"State","TX","Category",10,"Category2","Two-Year")</f>
        <v>7.9335560125828361E-2</v>
      </c>
      <c r="Y179" s="807">
        <f t="shared" si="13"/>
        <v>0.56257904875623987</v>
      </c>
      <c r="Z179" s="242">
        <f>+GETPIVOTDATA("Sum of Old-HS % of Total",'Pivot-HS Student % of Undergrad'!$A$3,"State","TX","Category2","Two-Year")</f>
        <v>6.7511995259166513E-2</v>
      </c>
      <c r="AA179" s="807">
        <f t="shared" si="14"/>
        <v>0.19926904139382223</v>
      </c>
      <c r="AC179" s="100" t="s">
        <v>92</v>
      </c>
      <c r="AD179" s="232">
        <f>+'FTE Pivot for regular counts'!AF171</f>
        <v>26065.594444444443</v>
      </c>
      <c r="AE179" s="232">
        <f>+'FTE Pivot for regular counts'!AG171</f>
        <v>319713.48555555556</v>
      </c>
      <c r="AF179" s="232">
        <f>+'FTE Pivot for regular counts'!AH171</f>
        <v>70663.361111111095</v>
      </c>
      <c r="AG179" s="232">
        <f>+'FTE Pivot for regular counts'!AI171</f>
        <v>12337.428888888891</v>
      </c>
      <c r="AH179" s="232">
        <f>+'FTE Pivot for regular counts'!AJ171</f>
        <v>89075.805555555562</v>
      </c>
      <c r="AI179" s="80">
        <f>+J179</f>
        <v>517855.67555555562</v>
      </c>
      <c r="AJ179" s="796" t="s">
        <v>92</v>
      </c>
      <c r="AK179" s="790">
        <f>+'FTE Pivot for regular counts'!AF170</f>
        <v>25481.34888888889</v>
      </c>
      <c r="AL179" s="792">
        <f>+'FTE Pivot for regular counts'!AG170</f>
        <v>314919.0166666666</v>
      </c>
      <c r="AM179" s="792">
        <f>+'FTE Pivot for regular counts'!AH170</f>
        <v>71945.387777777752</v>
      </c>
      <c r="AN179" s="792">
        <f>+'FTE Pivot for regular counts'!AI170</f>
        <v>12521.583333333336</v>
      </c>
      <c r="AO179" s="792">
        <f>+'FTE Pivot for regular counts'!AJ170</f>
        <v>89172.713333333348</v>
      </c>
      <c r="AP179" s="791">
        <f>+'NEW-Tables 80-86'!V119+'NEW-Tables 80-86'!U149</f>
        <v>514040.0500000001</v>
      </c>
    </row>
    <row r="180" spans="1:88" ht="15" customHeight="1">
      <c r="A180" s="1" t="s">
        <v>93</v>
      </c>
      <c r="B180" s="32">
        <f>+'NEW-Tables 80-86'!B120+'NEW-Tables 80-86'!B150</f>
        <v>0</v>
      </c>
      <c r="C180" s="210">
        <f>+GETPIVOTDATA("Sum of New-HS % of Total",'Pivot-HS Student % of Undergrad'!$A$3,"State","VA","Category",7,"Category2","Two-Year")</f>
        <v>0</v>
      </c>
      <c r="D180" s="173">
        <f>+'NEW-Tables 80-86'!C120+'NEW-Tables 80-86'!C150</f>
        <v>73884.600000000006</v>
      </c>
      <c r="E180" s="210">
        <f>+GETPIVOTDATA("Sum of New-HS % of Total",'Pivot-HS Student % of Undergrad'!$A$3,"State","VA","Category",8,"Category2","Two-Year")</f>
        <v>3.6809204263585825E-2</v>
      </c>
      <c r="F180" s="173">
        <f>+'NEW-Tables 80-86'!D120+'NEW-Tables 80-86'!D150</f>
        <v>46546.633333333339</v>
      </c>
      <c r="G180" s="210">
        <f>+GETPIVOTDATA("Sum of New-HS % of Total",'Pivot-HS Student % of Undergrad'!$A$3,"State","VA","Category",9,"Category2","Two-Year")</f>
        <v>0.26580726568838847</v>
      </c>
      <c r="H180" s="173">
        <f>+'NEW-Tables 80-86'!E120+'NEW-Tables 80-86'!E150</f>
        <v>9872.6666666666679</v>
      </c>
      <c r="I180" s="210">
        <f>+GETPIVOTDATA("Sum of New-HS % of Total",'Pivot-HS Student % of Undergrad'!$A$3,"State","VA","Category",10,"Category2","Two-Year")</f>
        <v>0.34662705111756364</v>
      </c>
      <c r="J180" s="173">
        <f>+'NEW-Tables 80-86'!F120+'NEW-Tables 80-86'!F150</f>
        <v>130303.90000000001</v>
      </c>
      <c r="K180" s="210">
        <f>+GETPIVOTDATA("Sum of New-HS % of Total",'Pivot-HS Student % of Undergrad'!$A$3,"State","VA","Category2","Group2")</f>
        <v>0.14208477259698291</v>
      </c>
      <c r="Q180" s="1" t="s">
        <v>93</v>
      </c>
      <c r="R180" s="241">
        <f>+GETPIVOTDATA("Sum of Old-HS % of Total",'Pivot-HS Student % of Undergrad'!$A$3,"State","VA","Category",7,"Category2","Two-Year")</f>
        <v>0</v>
      </c>
      <c r="S180" s="807">
        <f t="shared" si="10"/>
        <v>0</v>
      </c>
      <c r="T180" s="242">
        <f>+GETPIVOTDATA("Sum of Old-HS % of Total",'Pivot-HS Student % of Undergrad'!$A$3,"State","VA","Category",8,"Category2","Two-Year")</f>
        <v>3.0949579230097557E-2</v>
      </c>
      <c r="U180" s="807">
        <f t="shared" si="11"/>
        <v>0.58596250334882682</v>
      </c>
      <c r="V180" s="242">
        <f>+GETPIVOTDATA("Sum of Old-HS % of Total",'Pivot-HS Student % of Undergrad'!$A$3,"State","VA","Category",9,"Category2","Two-Year")</f>
        <v>0.20198767488196506</v>
      </c>
      <c r="W180" s="807">
        <f t="shared" si="12"/>
        <v>6.381959080642341</v>
      </c>
      <c r="X180" s="242">
        <f>+GETPIVOTDATA("Sum of Old-HS % of Total",'Pivot-HS Student % of Undergrad'!$A$3,"State","VA","Category",10,"Category2","Two-Year")</f>
        <v>0.25128075606417943</v>
      </c>
      <c r="Y180" s="807">
        <f t="shared" si="13"/>
        <v>9.5346295053384207</v>
      </c>
      <c r="Z180" s="242">
        <f>+GETPIVOTDATA("Sum of Old-HS % of Total",'Pivot-HS Student % of Undergrad'!$A$3,"State","VA","Category2","Two-Year")</f>
        <v>0.11049459166731419</v>
      </c>
      <c r="AA180" s="807">
        <f t="shared" si="14"/>
        <v>3.1590180929668712</v>
      </c>
      <c r="AC180" s="98" t="s">
        <v>93</v>
      </c>
      <c r="AD180" s="80"/>
      <c r="AE180" s="80"/>
      <c r="AF180" s="80"/>
      <c r="AG180" s="232">
        <v>1175</v>
      </c>
      <c r="AH180" s="232">
        <f>+'FTE Pivot for regular counts'!AJ183</f>
        <v>128277.03333333334</v>
      </c>
      <c r="AI180" s="80">
        <f>+J180</f>
        <v>130303.90000000001</v>
      </c>
      <c r="AJ180" s="796" t="s">
        <v>93</v>
      </c>
      <c r="AK180" s="790"/>
      <c r="AL180" s="790"/>
      <c r="AM180" s="790"/>
      <c r="AN180" s="792">
        <v>1174</v>
      </c>
      <c r="AO180" s="792">
        <f>+'FTE Pivot for regular counts'!AJ182</f>
        <v>124177.93333333333</v>
      </c>
      <c r="AP180" s="791">
        <f>+'NEW-Tables 80-86'!V120+'NEW-Tables 80-86'!U150</f>
        <v>126120.20000000001</v>
      </c>
      <c r="AQ180" s="25"/>
      <c r="AZ180" s="25"/>
      <c r="BA180" s="25"/>
      <c r="BB180" s="25"/>
      <c r="BC180" s="25"/>
      <c r="BD180" s="25"/>
      <c r="BE180" s="25"/>
      <c r="BF180" s="25"/>
      <c r="BG180" s="25"/>
    </row>
    <row r="181" spans="1:88" ht="15" customHeight="1">
      <c r="A181" s="3" t="s">
        <v>94</v>
      </c>
      <c r="B181" s="9">
        <f>+'NEW-Tables 80-86'!B121+'NEW-Tables 80-86'!B151</f>
        <v>4952.2</v>
      </c>
      <c r="C181" s="212">
        <f>+GETPIVOTDATA("Sum of New-HS % of Total",'Pivot-HS Student % of Undergrad'!$A$3,"State","WV","Category",7,"Category2","Two-Year")</f>
        <v>3.8656220131120175E-2</v>
      </c>
      <c r="D181" s="174">
        <f>+'NEW-Tables 80-86'!C121+'NEW-Tables 80-86'!C151</f>
        <v>0</v>
      </c>
      <c r="E181" s="212">
        <f>+GETPIVOTDATA("Sum of New-HS % of Total",'Pivot-HS Student % of Undergrad'!$A$3,"State","WV","Category",8,"Category2","Two-Year")</f>
        <v>0</v>
      </c>
      <c r="F181" s="174">
        <f>+'NEW-Tables 80-86'!D121+'NEW-Tables 80-86'!D151</f>
        <v>2388.8566666666666</v>
      </c>
      <c r="G181" s="212">
        <f>+GETPIVOTDATA("Sum of New-HS % of Total",'Pivot-HS Student % of Undergrad'!$A$3,"State","WV","Category",9,"Category2","Two-Year")</f>
        <v>4.4240131611077545E-2</v>
      </c>
      <c r="H181" s="174">
        <f>+'NEW-Tables 80-86'!E121+'NEW-Tables 80-86'!E151</f>
        <v>12182.58</v>
      </c>
      <c r="I181" s="212">
        <f>+GETPIVOTDATA("Sum of New-HS % of Total",'Pivot-HS Student % of Undergrad'!$A$3,"State","WV","Category",10,"Category2","Two-Year")</f>
        <v>3.7510664134088732E-2</v>
      </c>
      <c r="J181" s="174">
        <f>+'NEW-Tables 80-86'!F121+'NEW-Tables 80-86'!F151</f>
        <v>19523.636666666665</v>
      </c>
      <c r="K181" s="212">
        <f>+GETPIVOTDATA("Sum of New-HS % of Total",'Pivot-HS Student % of Undergrad'!$A$3,"State","WV","Category2","Group2")</f>
        <v>3.8624634652253138E-2</v>
      </c>
      <c r="Q181" s="3" t="s">
        <v>94</v>
      </c>
      <c r="R181" s="749">
        <f>+GETPIVOTDATA("Sum of Old-HS % of Total",'Pivot-HS Student % of Undergrad'!$A$3,"State","WV","Category",7,"Category2","Two-Year")</f>
        <v>3.9955671569052879E-2</v>
      </c>
      <c r="S181" s="807">
        <f t="shared" si="10"/>
        <v>-0.12994514379327041</v>
      </c>
      <c r="T181" s="750">
        <f>+GETPIVOTDATA("Sum of Old-HS % of Total",'Pivot-HS Student % of Undergrad'!$A$3,"State","WV","Category",8,"Category2","Two-Year")</f>
        <v>0</v>
      </c>
      <c r="U181" s="807">
        <f t="shared" si="11"/>
        <v>0</v>
      </c>
      <c r="V181" s="750">
        <f>+GETPIVOTDATA("Sum of Old-HS % of Total",'Pivot-HS Student % of Undergrad'!$A$3,"State","WV","Category",9,"Category2","Two-Year")</f>
        <v>4.0121931017930955E-2</v>
      </c>
      <c r="W181" s="807">
        <f t="shared" si="12"/>
        <v>0.41182005931465898</v>
      </c>
      <c r="X181" s="750">
        <f>+GETPIVOTDATA("Sum of Old-HS % of Total",'Pivot-HS Student % of Undergrad'!$A$3,"State","WV","Category",10,"Category2","Two-Year")</f>
        <v>4.0716688664836555E-2</v>
      </c>
      <c r="Y181" s="807">
        <f t="shared" si="13"/>
        <v>-0.32060245307478225</v>
      </c>
      <c r="Z181" s="750">
        <f>+GETPIVOTDATA("Sum of Old-HS % of Total",'Pivot-HS Student % of Undergrad'!$A$3,"State","WV","Category2","Two-Year")</f>
        <v>4.0443940467268874E-2</v>
      </c>
      <c r="AA181" s="807">
        <f t="shared" si="14"/>
        <v>-0.18193058150157357</v>
      </c>
      <c r="AC181" s="98" t="s">
        <v>94</v>
      </c>
      <c r="AD181" s="80">
        <f>+B181</f>
        <v>4952.2</v>
      </c>
      <c r="AE181" s="80">
        <f>+D181</f>
        <v>0</v>
      </c>
      <c r="AF181" s="80">
        <f>+F181</f>
        <v>2388.8566666666666</v>
      </c>
      <c r="AG181" s="80">
        <f>+H181</f>
        <v>12182.58</v>
      </c>
      <c r="AH181" s="145"/>
      <c r="AI181" s="80">
        <f>+J181</f>
        <v>19523.636666666665</v>
      </c>
      <c r="AJ181" s="798" t="s">
        <v>94</v>
      </c>
      <c r="AK181" s="793">
        <f>+'NEW-Tables 80-86'!R121+'NEW-Tables 80-86'!Q151</f>
        <v>4993.0333333333328</v>
      </c>
      <c r="AL181" s="793">
        <f>+'NEW-Tables 80-86'!S121+'NEW-Tables 80-86'!R151</f>
        <v>0</v>
      </c>
      <c r="AM181" s="793">
        <f>+'NEW-Tables 80-86'!T121+'NEW-Tables 80-86'!S151</f>
        <v>2555.5433333333335</v>
      </c>
      <c r="AN181" s="793">
        <f>+'NEW-Tables 80-86'!U121+'NEW-Tables 80-86'!T151</f>
        <v>11955.54</v>
      </c>
      <c r="AO181" s="793"/>
      <c r="AP181" s="794">
        <f>+'NEW-Tables 80-86'!V121+'NEW-Tables 80-86'!U151</f>
        <v>19504.116666666669</v>
      </c>
      <c r="BH181" s="25"/>
      <c r="BI181" s="25"/>
      <c r="BJ181" s="25"/>
    </row>
    <row r="182" spans="1:88" ht="34.5" customHeight="1">
      <c r="A182" s="811" t="s">
        <v>1019</v>
      </c>
      <c r="B182" s="811"/>
      <c r="C182" s="811"/>
      <c r="D182" s="811"/>
      <c r="E182" s="811"/>
      <c r="F182" s="811"/>
      <c r="G182" s="811"/>
      <c r="H182" s="811"/>
      <c r="I182" s="811"/>
      <c r="J182" s="811"/>
      <c r="K182" s="811"/>
      <c r="P182" s="25"/>
      <c r="AN182" s="25"/>
      <c r="AO182" s="25"/>
      <c r="AP182" s="25"/>
      <c r="AQ182" s="25"/>
      <c r="AZ182" s="25"/>
      <c r="BA182" s="25"/>
      <c r="BB182" s="25"/>
      <c r="BC182" s="25"/>
      <c r="BD182" s="25"/>
      <c r="BE182" s="25"/>
      <c r="BF182" s="25"/>
      <c r="BG182" s="25"/>
      <c r="CF182" s="25"/>
      <c r="CG182" s="25"/>
      <c r="CH182" s="25"/>
      <c r="CI182" s="25"/>
      <c r="CJ182" s="25"/>
    </row>
    <row r="183" spans="1:88" s="25" customFormat="1" ht="10.5" customHeight="1">
      <c r="A183" s="1"/>
      <c r="B183" s="1"/>
      <c r="C183" s="1"/>
      <c r="D183" s="1"/>
      <c r="E183" s="1"/>
      <c r="F183" s="1"/>
      <c r="G183" s="1"/>
      <c r="H183" s="4"/>
      <c r="I183" s="1"/>
      <c r="J183" s="1"/>
      <c r="K183" s="169" t="s">
        <v>1018</v>
      </c>
      <c r="L183" s="103"/>
      <c r="M183" s="103"/>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1:88" ht="18" customHeight="1">
      <c r="A184" s="115" t="s">
        <v>228</v>
      </c>
      <c r="B184" s="22"/>
      <c r="C184" s="22"/>
      <c r="D184" s="22"/>
      <c r="E184" s="22"/>
      <c r="F184" s="22"/>
      <c r="G184" s="22"/>
      <c r="H184" s="106"/>
      <c r="I184" s="22"/>
      <c r="J184" s="1"/>
      <c r="K184" s="1"/>
      <c r="L184" s="1"/>
      <c r="M184" s="201"/>
      <c r="S184" s="169"/>
      <c r="AN184" s="25"/>
      <c r="AO184" s="25"/>
      <c r="AP184" s="25"/>
      <c r="AQ184" s="25"/>
      <c r="AZ184" s="25"/>
      <c r="BA184" s="25"/>
      <c r="BB184" s="25"/>
      <c r="BC184" s="25"/>
      <c r="BD184" s="25"/>
      <c r="BE184" s="25"/>
      <c r="BF184" s="25"/>
      <c r="BG184" s="25"/>
    </row>
    <row r="185" spans="1:88" ht="15.75">
      <c r="A185" s="21"/>
      <c r="B185" s="22"/>
      <c r="C185" s="22"/>
      <c r="D185" s="22"/>
      <c r="E185" s="22"/>
      <c r="F185" s="22"/>
      <c r="G185" s="22"/>
      <c r="H185" s="106"/>
      <c r="I185" s="22"/>
      <c r="J185" s="1"/>
      <c r="K185" s="1"/>
      <c r="L185" s="1"/>
      <c r="M185" s="201"/>
      <c r="S185" s="169"/>
      <c r="AA185" s="126"/>
      <c r="AB185" s="230"/>
      <c r="AC185" s="100"/>
      <c r="AD185" s="237" t="s">
        <v>50</v>
      </c>
      <c r="AE185" s="100"/>
      <c r="AF185" s="100"/>
      <c r="AG185" s="100"/>
      <c r="AH185" s="100"/>
      <c r="AI185" s="100"/>
      <c r="AJ185" s="237" t="s">
        <v>50</v>
      </c>
      <c r="AK185" s="100"/>
      <c r="AL185" s="100"/>
      <c r="AN185" s="25"/>
      <c r="BA185" s="25"/>
      <c r="BB185" s="25"/>
      <c r="BC185" s="25"/>
    </row>
    <row r="186" spans="1:88" ht="15.75" customHeight="1">
      <c r="A186" s="43" t="s">
        <v>47</v>
      </c>
      <c r="B186" s="22"/>
      <c r="C186" s="22"/>
      <c r="D186" s="22"/>
      <c r="E186" s="22"/>
      <c r="F186" s="22"/>
      <c r="G186" s="22"/>
      <c r="H186" s="106"/>
      <c r="I186" s="22"/>
      <c r="J186" s="1"/>
      <c r="K186" s="1"/>
      <c r="L186" s="1"/>
      <c r="M186" s="201"/>
      <c r="S186" s="169"/>
      <c r="AA186" s="146"/>
      <c r="AB186" s="126"/>
      <c r="AC186" s="100"/>
      <c r="AD186" s="134" t="s">
        <v>161</v>
      </c>
      <c r="AE186" s="100"/>
      <c r="AF186" s="100"/>
      <c r="AG186" s="100"/>
      <c r="AH186" s="100"/>
      <c r="AI186" s="100"/>
      <c r="AJ186" s="134" t="s">
        <v>49</v>
      </c>
      <c r="AK186" s="100"/>
      <c r="AL186" s="100"/>
      <c r="AN186" s="25"/>
      <c r="BA186" s="25"/>
      <c r="BB186" s="25"/>
      <c r="BC186" s="25"/>
    </row>
    <row r="187" spans="1:88" ht="15.75">
      <c r="A187" s="43" t="s">
        <v>1016</v>
      </c>
      <c r="B187" s="22"/>
      <c r="C187" s="22"/>
      <c r="D187" s="22"/>
      <c r="E187" s="22"/>
      <c r="F187" s="22"/>
      <c r="G187" s="22"/>
      <c r="H187" s="106"/>
      <c r="I187" s="22"/>
      <c r="J187" s="1"/>
      <c r="K187" s="1"/>
      <c r="L187" s="1"/>
      <c r="M187" s="201"/>
      <c r="Q187" s="126" t="s">
        <v>49</v>
      </c>
      <c r="S187" s="169"/>
      <c r="AA187" s="146"/>
      <c r="AB187" s="146"/>
      <c r="AC187" s="100"/>
      <c r="AD187" s="100"/>
      <c r="AE187" s="100"/>
      <c r="AF187" s="100"/>
      <c r="AG187" s="100"/>
      <c r="AH187" s="100"/>
      <c r="AI187" s="100"/>
      <c r="AJ187" s="100"/>
      <c r="AK187" s="100"/>
      <c r="AL187" s="100"/>
      <c r="AN187" s="25"/>
      <c r="BA187" s="25"/>
      <c r="BB187" s="25"/>
      <c r="BC187" s="25"/>
    </row>
    <row r="188" spans="1:88">
      <c r="C188" s="3"/>
      <c r="D188" s="3"/>
      <c r="E188" s="3"/>
      <c r="F188" s="3"/>
      <c r="G188" s="3"/>
      <c r="H188" s="73"/>
      <c r="I188" s="25"/>
      <c r="J188" s="1"/>
      <c r="K188" s="1"/>
      <c r="L188" s="1"/>
      <c r="M188" s="201"/>
      <c r="Q188" s="238" t="s">
        <v>208</v>
      </c>
      <c r="R188" s="3"/>
      <c r="S188" s="3"/>
      <c r="T188" s="3"/>
      <c r="U188" s="3"/>
      <c r="V188" s="3"/>
      <c r="W188" s="3"/>
      <c r="X188" s="25"/>
      <c r="Y188" s="25"/>
      <c r="AA188" s="146"/>
      <c r="AB188" s="146"/>
      <c r="AC188" s="100"/>
      <c r="AD188" s="133" t="s">
        <v>50</v>
      </c>
      <c r="AE188" s="100"/>
      <c r="AF188" s="100"/>
      <c r="AG188" s="100"/>
      <c r="AH188" s="100"/>
      <c r="AI188" s="100"/>
      <c r="AJ188" s="133" t="s">
        <v>50</v>
      </c>
      <c r="AK188" s="100"/>
      <c r="AL188" s="100"/>
      <c r="AN188" s="25"/>
      <c r="BA188" s="25"/>
      <c r="BB188" s="25"/>
      <c r="BC188" s="25"/>
    </row>
    <row r="189" spans="1:88" ht="28.5" customHeight="1">
      <c r="A189" s="45"/>
      <c r="B189" s="268">
        <v>1</v>
      </c>
      <c r="D189" s="225">
        <v>2</v>
      </c>
      <c r="F189" s="226" t="s">
        <v>41</v>
      </c>
      <c r="H189" s="73"/>
      <c r="I189" s="25"/>
      <c r="J189" s="1"/>
      <c r="K189" s="1"/>
      <c r="L189" s="1"/>
      <c r="M189" s="201"/>
      <c r="Q189" s="76"/>
      <c r="R189" s="76" t="s">
        <v>212</v>
      </c>
      <c r="S189" s="25"/>
      <c r="T189" s="239">
        <v>2</v>
      </c>
      <c r="U189" s="25"/>
      <c r="V189" s="239" t="s">
        <v>1</v>
      </c>
      <c r="W189" s="25"/>
      <c r="X189" s="73"/>
      <c r="Y189" s="73"/>
      <c r="AA189" s="146"/>
      <c r="AB189" s="146"/>
      <c r="AC189" s="100"/>
      <c r="AD189" s="137" t="s">
        <v>56</v>
      </c>
      <c r="AE189" s="138"/>
      <c r="AF189" s="139"/>
      <c r="AG189" s="140"/>
      <c r="AH189" s="100"/>
      <c r="AI189" s="100"/>
      <c r="AJ189" s="137" t="s">
        <v>56</v>
      </c>
      <c r="AK189" s="138"/>
      <c r="AL189" s="139"/>
      <c r="AN189" s="25"/>
      <c r="BA189" s="25"/>
      <c r="BB189" s="25"/>
      <c r="BC189" s="25"/>
    </row>
    <row r="190" spans="1:88" ht="78" customHeight="1">
      <c r="A190" s="203"/>
      <c r="B190" s="204" t="s">
        <v>160</v>
      </c>
      <c r="C190" s="166" t="s">
        <v>24</v>
      </c>
      <c r="D190" s="205" t="s">
        <v>160</v>
      </c>
      <c r="E190" s="166" t="s">
        <v>24</v>
      </c>
      <c r="F190" s="205" t="s">
        <v>160</v>
      </c>
      <c r="G190" s="166" t="s">
        <v>24</v>
      </c>
      <c r="J190" s="1"/>
      <c r="K190" s="1"/>
      <c r="L190" s="1"/>
      <c r="M190" s="201"/>
      <c r="Q190" s="3"/>
      <c r="R190" s="234" t="s">
        <v>2</v>
      </c>
      <c r="S190" s="234" t="s">
        <v>4</v>
      </c>
      <c r="T190" s="236" t="s">
        <v>2</v>
      </c>
      <c r="U190" s="234" t="s">
        <v>4</v>
      </c>
      <c r="V190" s="236" t="s">
        <v>2</v>
      </c>
      <c r="W190" s="234" t="s">
        <v>4</v>
      </c>
      <c r="X190" s="741"/>
      <c r="Y190" s="741"/>
      <c r="AA190" s="146"/>
      <c r="AB190" s="146"/>
      <c r="AC190" s="100"/>
      <c r="AD190" s="143">
        <v>1</v>
      </c>
      <c r="AE190" s="144">
        <v>2</v>
      </c>
      <c r="AF190" s="142" t="s">
        <v>41</v>
      </c>
      <c r="AG190" s="142"/>
      <c r="AH190" s="100"/>
      <c r="AI190" s="100"/>
      <c r="AJ190" s="143">
        <v>1</v>
      </c>
      <c r="AK190" s="144">
        <v>2</v>
      </c>
      <c r="AL190" s="142" t="s">
        <v>41</v>
      </c>
      <c r="AN190" s="25"/>
      <c r="BA190" s="25"/>
      <c r="BB190" s="25"/>
      <c r="BC190" s="25"/>
    </row>
    <row r="191" spans="1:88" ht="12.75" customHeight="1">
      <c r="A191" s="1" t="s">
        <v>79</v>
      </c>
      <c r="B191" s="32">
        <f>+'NEW-Tables 80-86'!G101+'NEW-Tables 80-86'!G131</f>
        <v>126105.67734444444</v>
      </c>
      <c r="D191" s="175">
        <f>+'NEW-Tables 80-86'!H101+'NEW-Tables 80-86'!H131</f>
        <v>34059.634299999998</v>
      </c>
      <c r="F191" s="175">
        <f>+'NEW-Tables 80-86'!I101+'NEW-Tables 80-86'!I131</f>
        <v>160165.31164444442</v>
      </c>
      <c r="J191" s="1"/>
      <c r="K191" s="1"/>
      <c r="L191" s="1"/>
      <c r="M191" s="201"/>
      <c r="Q191" s="25" t="s">
        <v>79</v>
      </c>
      <c r="R191" s="746"/>
      <c r="S191" s="740">
        <f>C191-R191</f>
        <v>0</v>
      </c>
      <c r="T191" s="242"/>
      <c r="U191" s="740">
        <f>E191-T191</f>
        <v>0</v>
      </c>
      <c r="V191" s="242"/>
      <c r="W191" s="740">
        <f>G191-V191</f>
        <v>0</v>
      </c>
      <c r="X191" s="742"/>
      <c r="Y191" s="743"/>
      <c r="AA191" s="146"/>
      <c r="AB191" s="146"/>
      <c r="AC191" s="100" t="s">
        <v>79</v>
      </c>
      <c r="AD191" s="81">
        <f>SUM(AD193:AD211)</f>
        <v>126105.67734444444</v>
      </c>
      <c r="AE191" s="80">
        <f>SUM(AE193:AE211)</f>
        <v>34059.634299999991</v>
      </c>
      <c r="AF191" s="80">
        <f>SUM(AF193:AF211)</f>
        <v>160165.31164444442</v>
      </c>
      <c r="AG191" s="80"/>
      <c r="AH191" s="100"/>
      <c r="AI191" s="100" t="s">
        <v>79</v>
      </c>
      <c r="AJ191" s="80">
        <f>SUM(AJ193:AJ211)</f>
        <v>133847.69097077774</v>
      </c>
      <c r="AK191" s="80">
        <f>SUM(AK193:AK211)</f>
        <v>32843.796344444447</v>
      </c>
      <c r="AL191" s="80">
        <f>SUM(AL193:AL211)</f>
        <v>166691.48731522221</v>
      </c>
      <c r="AN191" s="25"/>
      <c r="BA191" s="25"/>
      <c r="BB191" s="25"/>
      <c r="BC191" s="25"/>
    </row>
    <row r="192" spans="1:88" ht="10.5" customHeight="1">
      <c r="A192" s="265"/>
      <c r="B192" s="269"/>
      <c r="C192" s="261" t="s">
        <v>242</v>
      </c>
      <c r="D192" s="267" t="s">
        <v>39</v>
      </c>
      <c r="E192" s="261" t="s">
        <v>243</v>
      </c>
      <c r="F192" s="267" t="s">
        <v>39</v>
      </c>
      <c r="G192" s="261" t="s">
        <v>244</v>
      </c>
      <c r="J192" s="1" t="s">
        <v>39</v>
      </c>
      <c r="K192" s="1"/>
      <c r="L192" s="1"/>
      <c r="M192" s="201"/>
      <c r="Q192" s="25"/>
      <c r="R192" s="747"/>
      <c r="S192" s="740"/>
      <c r="T192" s="748"/>
      <c r="U192" s="740"/>
      <c r="V192" s="748"/>
      <c r="W192" s="740"/>
      <c r="X192" s="742"/>
      <c r="Y192" s="744"/>
      <c r="AA192" s="146"/>
      <c r="AB192" s="146"/>
      <c r="AC192" s="100"/>
      <c r="AD192" s="80"/>
      <c r="AE192" s="80"/>
      <c r="AF192" s="80"/>
      <c r="AG192" s="80"/>
      <c r="AH192" s="100"/>
      <c r="AI192" s="100"/>
      <c r="AJ192" s="80"/>
      <c r="AK192" s="80"/>
      <c r="AL192" s="80"/>
      <c r="AN192" s="25"/>
      <c r="BA192" s="25"/>
      <c r="BB192" s="25"/>
      <c r="BC192" s="25"/>
    </row>
    <row r="193" spans="1:55">
      <c r="A193" s="1" t="s">
        <v>80</v>
      </c>
      <c r="B193" s="32">
        <f>+'NEW-Tables 80-86'!G103+'NEW-Tables 80-86'!G133</f>
        <v>1650.0666666666666</v>
      </c>
      <c r="C193" s="96">
        <f>+GETPIVOTDATA("Sum of New-HS % of Total",'Pivot-HS Student % of Undergrad'!$A$3,"State","AL","Category",12,"Category2","Technical")</f>
        <v>1.8787119712334855E-3</v>
      </c>
      <c r="D193" s="175">
        <f>+'NEW-Tables 80-86'!H103+'NEW-Tables 80-86'!H133</f>
        <v>2468.5</v>
      </c>
      <c r="E193" s="96">
        <f>+GETPIVOTDATA("Sum of New-HS % of Total",'Pivot-HS Student % of Undergrad'!$A$3,"State","AL","Category",13,"Category2","Technical")</f>
        <v>2.1146445209641481E-2</v>
      </c>
      <c r="F193" s="175">
        <f>+'NEW-Tables 80-86'!I103+'NEW-Tables 80-86'!I133</f>
        <v>4118.5666666666666</v>
      </c>
      <c r="G193" s="96">
        <f>+GETPIVOTDATA("Sum of New-HS % of Total",'Pivot-HS Student % of Undergrad'!$A$3,"State","AL","Category2","Group3")</f>
        <v>1.3427001303042321E-2</v>
      </c>
      <c r="J193" s="1"/>
      <c r="K193" s="1"/>
      <c r="L193" s="1"/>
      <c r="M193" s="201"/>
      <c r="Q193" s="25" t="s">
        <v>80</v>
      </c>
      <c r="R193" s="241">
        <f>+GETPIVOTDATA("Sum of Old-HS % of Total",'Pivot-HS Student % of Undergrad'!$A$3,"State","AL","Category",12,"Category2","Technical")</f>
        <v>7.8443993000382162E-4</v>
      </c>
      <c r="S193" s="807">
        <f>(C193-R193)*100</f>
        <v>0.10942720412296639</v>
      </c>
      <c r="T193" s="242">
        <f>+GETPIVOTDATA("Sum of Old-HS % of Total",'Pivot-HS Student % of Undergrad'!$A$3,"State","AL","Category",13,"Category2","Technical")</f>
        <v>1.5806390622045755E-2</v>
      </c>
      <c r="U193" s="807">
        <f>(E193-T193)*100</f>
        <v>0.53400545875957262</v>
      </c>
      <c r="V193" s="242">
        <f>+GETPIVOTDATA("Sum of Old-HS % of Total",'Pivot-HS Student % of Undergrad'!$A$3,"State","AL","Category2","Technical")</f>
        <v>1.0019217059789852E-2</v>
      </c>
      <c r="W193" s="807">
        <f>(G193-V193)*100</f>
        <v>0.34077842432524691</v>
      </c>
      <c r="X193" s="742"/>
      <c r="Y193" s="744"/>
      <c r="AA193" s="146"/>
      <c r="AB193" s="146"/>
      <c r="AC193" s="100" t="s">
        <v>80</v>
      </c>
      <c r="AD193" s="81">
        <f>+B193</f>
        <v>1650.0666666666666</v>
      </c>
      <c r="AE193" s="80">
        <f>+D193</f>
        <v>2468.5</v>
      </c>
      <c r="AF193" s="80">
        <f>+F193</f>
        <v>4118.5666666666666</v>
      </c>
      <c r="AG193" s="80"/>
      <c r="AH193" s="100"/>
      <c r="AI193" s="100" t="s">
        <v>80</v>
      </c>
      <c r="AJ193" s="99">
        <f>+'NEW-Tables 80-86'!W103+'NEW-Tables 80-86'!V133</f>
        <v>1657.2333333333333</v>
      </c>
      <c r="AK193" s="98">
        <f>+'NEW-Tables 80-86'!X103+'NEW-Tables 80-86'!W133</f>
        <v>2644.5</v>
      </c>
      <c r="AL193" s="80">
        <f>+'NEW-Tables 80-86'!Y103+'NEW-Tables 80-86'!X133</f>
        <v>4301.7333333333336</v>
      </c>
      <c r="AN193" s="25"/>
      <c r="BA193" s="25"/>
      <c r="BB193" s="25"/>
      <c r="BC193" s="25"/>
    </row>
    <row r="194" spans="1:55">
      <c r="A194" s="1" t="s">
        <v>81</v>
      </c>
      <c r="B194" s="32">
        <f>+'NEW-Tables 80-86'!G104+'NEW-Tables 80-86'!G134</f>
        <v>0</v>
      </c>
      <c r="C194" s="96">
        <f>+GETPIVOTDATA("Sum of New-HS % of Total",'Pivot-HS Student % of Undergrad'!$A$3,"State","AR","Category",12,"Category2","Technical")</f>
        <v>0</v>
      </c>
      <c r="D194" s="175">
        <f>+'NEW-Tables 80-86'!H104+'NEW-Tables 80-86'!H134</f>
        <v>0</v>
      </c>
      <c r="E194" s="96">
        <f>+GETPIVOTDATA("Sum of New-HS % of Total",'Pivot-HS Student % of Undergrad'!$A$3,"State","AR","Category",13,"Category2","Technical")</f>
        <v>0</v>
      </c>
      <c r="F194" s="175">
        <f>+'NEW-Tables 80-86'!I104+'NEW-Tables 80-86'!I134</f>
        <v>0</v>
      </c>
      <c r="G194" s="96">
        <f>+GETPIVOTDATA("Sum of New-HS % of Total",'Pivot-HS Student % of Undergrad'!$A$3,"State","AR","Category2","Group3")</f>
        <v>0</v>
      </c>
      <c r="J194" s="1"/>
      <c r="K194" s="1"/>
      <c r="L194" s="1"/>
      <c r="M194" s="201"/>
      <c r="Q194" s="73" t="s">
        <v>81</v>
      </c>
      <c r="R194" s="241">
        <f>+GETPIVOTDATA("Sum of Old-HS % of Total",'Pivot-HS Student % of Undergrad'!$A$3,"State","AR","Category",12,"Category2","Technical")</f>
        <v>0</v>
      </c>
      <c r="S194" s="807">
        <f t="shared" ref="S194:S211" si="15">(C194-R194)*100</f>
        <v>0</v>
      </c>
      <c r="T194" s="242">
        <f>+GETPIVOTDATA("Sum of Old-HS % of Total",'Pivot-HS Student % of Undergrad'!$A$3,"State","AR","Category",13,"Category2","Technical")</f>
        <v>0</v>
      </c>
      <c r="U194" s="807">
        <f t="shared" ref="U194:U211" si="16">(E194-T194)*100</f>
        <v>0</v>
      </c>
      <c r="V194" s="242">
        <f>+GETPIVOTDATA("Sum of Old-HS % of Total",'Pivot-HS Student % of Undergrad'!$A$3,"State","AR","Category2","Technical")</f>
        <v>0</v>
      </c>
      <c r="W194" s="807">
        <f t="shared" ref="W194:W211" si="17">(G194-V194)*100</f>
        <v>0</v>
      </c>
      <c r="X194" s="742"/>
      <c r="Y194" s="745"/>
      <c r="AA194" s="146"/>
      <c r="AB194" s="146"/>
      <c r="AC194" s="100" t="s">
        <v>81</v>
      </c>
      <c r="AD194" s="81">
        <f>+B194</f>
        <v>0</v>
      </c>
      <c r="AE194" s="80">
        <f>+D194</f>
        <v>0</v>
      </c>
      <c r="AF194" s="80">
        <f>+F194</f>
        <v>0</v>
      </c>
      <c r="AG194" s="80"/>
      <c r="AH194" s="100"/>
      <c r="AI194" s="100" t="s">
        <v>81</v>
      </c>
      <c r="AJ194" s="99">
        <f>+'NEW-Tables 80-86'!W104+'NEW-Tables 80-86'!V134</f>
        <v>0</v>
      </c>
      <c r="AK194" s="98">
        <f>+'NEW-Tables 80-86'!X104+'NEW-Tables 80-86'!W134</f>
        <v>0</v>
      </c>
      <c r="AL194" s="80">
        <f>+'NEW-Tables 80-86'!Y104+'NEW-Tables 80-86'!X134</f>
        <v>0</v>
      </c>
      <c r="AN194" s="25"/>
      <c r="BA194" s="25"/>
      <c r="BB194" s="25"/>
      <c r="BC194" s="25"/>
    </row>
    <row r="195" spans="1:55">
      <c r="A195" s="1" t="s">
        <v>118</v>
      </c>
      <c r="B195" s="32">
        <f>+'NEW-Tables 80-86'!G105+'NEW-Tables 80-86'!G135</f>
        <v>0</v>
      </c>
      <c r="C195" s="96">
        <f>+GETPIVOTDATA("Sum of New-HS % of Total",'Pivot-HS Student % of Undergrad'!$A$3,"State","DE","Category",12,"Category2","Technical")</f>
        <v>0</v>
      </c>
      <c r="D195" s="175">
        <f>+'NEW-Tables 80-86'!H105+'NEW-Tables 80-86'!H135</f>
        <v>0</v>
      </c>
      <c r="E195" s="96">
        <f>+GETPIVOTDATA("Sum of New-HS % of Total",'Pivot-HS Student % of Undergrad'!$A$3,"State","DE","Category",13,"Category2","Technical")</f>
        <v>0</v>
      </c>
      <c r="F195" s="175">
        <f>+'NEW-Tables 80-86'!I105+'NEW-Tables 80-86'!I135</f>
        <v>0</v>
      </c>
      <c r="G195" s="96">
        <f>+GETPIVOTDATA("Sum of New-HS % of Total",'Pivot-HS Student % of Undergrad'!$A$3,"State","DE","Category2","Group3")</f>
        <v>0</v>
      </c>
      <c r="J195" s="1"/>
      <c r="K195" s="1"/>
      <c r="L195" s="1"/>
      <c r="M195" s="201"/>
      <c r="Q195" s="25" t="s">
        <v>118</v>
      </c>
      <c r="R195" s="241">
        <f>+GETPIVOTDATA("Sum of Old-HS % of Total",'Pivot-HS Student % of Undergrad'!$A$3,"State","DE","Category",12,"Category2","Technical")</f>
        <v>0</v>
      </c>
      <c r="S195" s="807">
        <f t="shared" si="15"/>
        <v>0</v>
      </c>
      <c r="T195" s="242">
        <f>+GETPIVOTDATA("Sum of Old-HS % of Total",'Pivot-HS Student % of Undergrad'!$A$3,"State","DE","Category",13,"Category2","Technical")</f>
        <v>0</v>
      </c>
      <c r="U195" s="807">
        <f t="shared" si="16"/>
        <v>0</v>
      </c>
      <c r="V195" s="242">
        <f>+GETPIVOTDATA("Sum of Old-HS % of Total",'Pivot-HS Student % of Undergrad'!$A$3,"State","DE","Category2","Technical")</f>
        <v>0</v>
      </c>
      <c r="W195" s="807">
        <f t="shared" si="17"/>
        <v>0</v>
      </c>
      <c r="X195" s="742"/>
      <c r="Y195" s="744"/>
      <c r="AA195" s="146"/>
      <c r="AB195" s="146"/>
      <c r="AC195" s="100" t="s">
        <v>118</v>
      </c>
      <c r="AD195" s="81">
        <f>+B195</f>
        <v>0</v>
      </c>
      <c r="AE195" s="80">
        <f>+D195</f>
        <v>0</v>
      </c>
      <c r="AF195" s="80">
        <f>+F195</f>
        <v>0</v>
      </c>
      <c r="AG195" s="80"/>
      <c r="AH195" s="100"/>
      <c r="AI195" s="100" t="s">
        <v>118</v>
      </c>
      <c r="AJ195" s="99">
        <f>+'NEW-Tables 80-86'!W105+'NEW-Tables 80-86'!V135</f>
        <v>0</v>
      </c>
      <c r="AK195" s="98">
        <f>+'NEW-Tables 80-86'!X105+'NEW-Tables 80-86'!W135</f>
        <v>0</v>
      </c>
      <c r="AL195" s="80">
        <f>+'NEW-Tables 80-86'!Y105+'NEW-Tables 80-86'!X135</f>
        <v>0</v>
      </c>
      <c r="AN195" s="25"/>
      <c r="BA195" s="25"/>
      <c r="BB195" s="25"/>
      <c r="BC195" s="25"/>
    </row>
    <row r="196" spans="1:55">
      <c r="A196" s="1" t="s">
        <v>82</v>
      </c>
      <c r="B196" s="32">
        <f>+'NEW-Tables 80-86'!G106+'NEW-Tables 80-86'!G136</f>
        <v>0</v>
      </c>
      <c r="C196" s="96">
        <f>+GETPIVOTDATA("Sum of New-HS % of Total",'Pivot-HS Student % of Undergrad'!$A$3,"State","FL","Category",12,"Category2","Technical")</f>
        <v>0</v>
      </c>
      <c r="D196" s="175">
        <f>+'NEW-Tables 80-86'!H106+'NEW-Tables 80-86'!H136</f>
        <v>0</v>
      </c>
      <c r="E196" s="96">
        <f>+GETPIVOTDATA("Sum of New-HS % of Total",'Pivot-HS Student % of Undergrad'!$A$3,"State","FL","Category",13,"Category2","Technical")</f>
        <v>0</v>
      </c>
      <c r="F196" s="175">
        <f>+'NEW-Tables 80-86'!I106+'NEW-Tables 80-86'!I136</f>
        <v>0</v>
      </c>
      <c r="G196" s="96">
        <f>+GETPIVOTDATA("Sum of New-HS % of Total",'Pivot-HS Student % of Undergrad'!$A$3,"State","FL","Category2","Group3")</f>
        <v>0</v>
      </c>
      <c r="J196" s="1"/>
      <c r="K196" s="1"/>
      <c r="L196" s="1"/>
      <c r="M196" s="201"/>
      <c r="Q196" s="25" t="s">
        <v>82</v>
      </c>
      <c r="R196" s="241">
        <f>+GETPIVOTDATA("Sum of Old-HS % of Total",'Pivot-HS Student % of Undergrad'!$A$3,"State","FL","Category",12,"Category2","Technical")</f>
        <v>0</v>
      </c>
      <c r="S196" s="807">
        <f t="shared" si="15"/>
        <v>0</v>
      </c>
      <c r="T196" s="242">
        <f>+GETPIVOTDATA("Sum of Old-HS % of Total",'Pivot-HS Student % of Undergrad'!$A$3,"State","FL","Category",13,"Category2","Technical")</f>
        <v>0</v>
      </c>
      <c r="U196" s="807">
        <f t="shared" si="16"/>
        <v>0</v>
      </c>
      <c r="V196" s="242">
        <f>+GETPIVOTDATA("Sum of Old-HS % of Total",'Pivot-HS Student % of Undergrad'!$A$3,"State","FL","Category2","Technical")</f>
        <v>0</v>
      </c>
      <c r="W196" s="807">
        <f t="shared" si="17"/>
        <v>0</v>
      </c>
      <c r="X196" s="742"/>
      <c r="Y196" s="744"/>
      <c r="AA196" s="146"/>
      <c r="AB196" s="146"/>
      <c r="AC196" s="100" t="s">
        <v>82</v>
      </c>
      <c r="AD196" s="81">
        <f>+B196</f>
        <v>0</v>
      </c>
      <c r="AE196" s="80">
        <f>+D196</f>
        <v>0</v>
      </c>
      <c r="AF196" s="80">
        <f>+F196</f>
        <v>0</v>
      </c>
      <c r="AG196" s="80"/>
      <c r="AH196" s="100"/>
      <c r="AI196" s="100" t="s">
        <v>82</v>
      </c>
      <c r="AJ196" s="99">
        <f>+'NEW-Tables 80-86'!W106+'NEW-Tables 80-86'!V136</f>
        <v>0</v>
      </c>
      <c r="AK196" s="98">
        <f>+'NEW-Tables 80-86'!X106+'NEW-Tables 80-86'!W136</f>
        <v>0</v>
      </c>
      <c r="AL196" s="80">
        <f>+'NEW-Tables 80-86'!Y106+'NEW-Tables 80-86'!X136</f>
        <v>0</v>
      </c>
      <c r="AN196" s="25"/>
      <c r="BA196" s="25"/>
      <c r="BB196" s="25"/>
      <c r="BC196" s="25"/>
    </row>
    <row r="197" spans="1:55">
      <c r="B197" s="32"/>
      <c r="C197" s="96"/>
      <c r="D197" s="175"/>
      <c r="E197" s="96"/>
      <c r="F197" s="175"/>
      <c r="G197" s="96"/>
      <c r="J197" s="1"/>
      <c r="K197" s="1"/>
      <c r="L197" s="1"/>
      <c r="M197" s="201"/>
      <c r="Q197" s="25"/>
      <c r="R197" s="241"/>
      <c r="S197" s="807"/>
      <c r="T197" s="242"/>
      <c r="U197" s="807"/>
      <c r="V197" s="242"/>
      <c r="W197" s="807"/>
      <c r="X197" s="742"/>
      <c r="Y197" s="744"/>
      <c r="AA197" s="146"/>
      <c r="AB197" s="146"/>
      <c r="AC197" s="100"/>
      <c r="AD197" s="81"/>
      <c r="AE197" s="80"/>
      <c r="AF197" s="80"/>
      <c r="AG197" s="80"/>
      <c r="AH197" s="100"/>
      <c r="AI197" s="100"/>
      <c r="AJ197" s="99"/>
      <c r="AK197" s="98"/>
      <c r="AL197" s="80"/>
      <c r="AN197" s="25"/>
      <c r="BA197" s="25"/>
      <c r="BB197" s="25"/>
      <c r="BC197" s="25"/>
    </row>
    <row r="198" spans="1:55">
      <c r="A198" s="1" t="s">
        <v>83</v>
      </c>
      <c r="B198" s="32">
        <f>+'NEW-Tables 80-86'!G108+'NEW-Tables 80-86'!G138</f>
        <v>96674.833333333328</v>
      </c>
      <c r="C198" s="96">
        <f>+GETPIVOTDATA("Sum of New-HS % of Total",'Pivot-HS Student % of Undergrad'!$A$3,"State","GA","Category",12,"Category2","Technical")</f>
        <v>1.837620614810128E-2</v>
      </c>
      <c r="D198" s="175">
        <f>+'NEW-Tables 80-86'!H108+'NEW-Tables 80-86'!H138</f>
        <v>0</v>
      </c>
      <c r="E198" s="96">
        <f>+GETPIVOTDATA("Sum of New-HS % of Total",'Pivot-HS Student % of Undergrad'!$A$3,"State","GA","Category",13,"Category2","Technical")</f>
        <v>0</v>
      </c>
      <c r="F198" s="175">
        <f>+'NEW-Tables 80-86'!I108+'NEW-Tables 80-86'!I138</f>
        <v>96674.833333333328</v>
      </c>
      <c r="G198" s="96">
        <f>+GETPIVOTDATA("Sum of New-HS % of Total",'Pivot-HS Student % of Undergrad'!$A$3,"State","GA","Category2","Group3")</f>
        <v>1.837620614810128E-2</v>
      </c>
      <c r="J198" s="1"/>
      <c r="K198" s="1"/>
      <c r="L198" s="1"/>
      <c r="M198" s="201"/>
      <c r="Q198" s="25" t="s">
        <v>83</v>
      </c>
      <c r="R198" s="241">
        <f>+GETPIVOTDATA("Sum of Old-HS % of Total",'Pivot-HS Student % of Undergrad'!$A$3,"State","GA","Category",12,"Category2","Technical")</f>
        <v>2.7367893169797042E-2</v>
      </c>
      <c r="S198" s="807">
        <f t="shared" si="15"/>
        <v>-0.89916870216957612</v>
      </c>
      <c r="T198" s="242">
        <f>+GETPIVOTDATA("Sum of Old-HS % of Total",'Pivot-HS Student % of Undergrad'!$A$3,"State","GA","Category",13,"Category2","Technical")</f>
        <v>0</v>
      </c>
      <c r="U198" s="807">
        <f t="shared" si="16"/>
        <v>0</v>
      </c>
      <c r="V198" s="242">
        <f>+GETPIVOTDATA("Sum of Old-HS % of Total",'Pivot-HS Student % of Undergrad'!$A$3,"State","GA","Category2","Technical")</f>
        <v>2.7367893169797042E-2</v>
      </c>
      <c r="W198" s="807">
        <f t="shared" si="17"/>
        <v>-0.89916870216957612</v>
      </c>
      <c r="X198" s="742"/>
      <c r="Y198" s="744"/>
      <c r="AA198" s="146"/>
      <c r="AB198" s="146"/>
      <c r="AC198" s="100" t="s">
        <v>83</v>
      </c>
      <c r="AD198" s="81">
        <f>+B198</f>
        <v>96674.833333333328</v>
      </c>
      <c r="AE198" s="80">
        <f>+D198</f>
        <v>0</v>
      </c>
      <c r="AF198" s="80">
        <f>+F198</f>
        <v>96674.833333333328</v>
      </c>
      <c r="AG198" s="80"/>
      <c r="AH198" s="100"/>
      <c r="AI198" s="100" t="s">
        <v>83</v>
      </c>
      <c r="AJ198" s="99">
        <f>+'NEW-Tables 80-86'!W108+'NEW-Tables 80-86'!V138</f>
        <v>103051.67899299996</v>
      </c>
      <c r="AK198" s="98">
        <f>+'NEW-Tables 80-86'!X108+'NEW-Tables 80-86'!W138</f>
        <v>0</v>
      </c>
      <c r="AL198" s="80">
        <f>+'NEW-Tables 80-86'!Y108+'NEW-Tables 80-86'!X138</f>
        <v>103051.67899299996</v>
      </c>
      <c r="AN198" s="25"/>
      <c r="BA198" s="25"/>
      <c r="BB198" s="25"/>
      <c r="BC198" s="25"/>
    </row>
    <row r="199" spans="1:55">
      <c r="A199" s="1" t="s">
        <v>84</v>
      </c>
      <c r="B199" s="32">
        <f>+'NEW-Tables 80-86'!G109+'NEW-Tables 80-86'!G139</f>
        <v>4817.2</v>
      </c>
      <c r="C199" s="96">
        <f>+GETPIVOTDATA("Sum of New-HS % of Total",'Pivot-HS Student % of Undergrad'!$A$3,"State","KY","Category",12,"Category2","Technical")</f>
        <v>6.3210993938387444E-2</v>
      </c>
      <c r="D199" s="175">
        <f>+'NEW-Tables 80-86'!H109+'NEW-Tables 80-86'!H139</f>
        <v>0</v>
      </c>
      <c r="E199" s="96">
        <f>+GETPIVOTDATA("Sum of New-HS % of Total",'Pivot-HS Student % of Undergrad'!$A$3,"State","KY","Category",13,"Category2","Technical")</f>
        <v>0</v>
      </c>
      <c r="F199" s="175">
        <f>+'NEW-Tables 80-86'!I109+'NEW-Tables 80-86'!I139</f>
        <v>4817.2</v>
      </c>
      <c r="G199" s="96">
        <f>+GETPIVOTDATA("Sum of New-HS % of Total",'Pivot-HS Student % of Undergrad'!$A$3,"State","KY","Category2","Group3")</f>
        <v>6.3210993938387444E-2</v>
      </c>
      <c r="J199" s="1"/>
      <c r="K199" s="1"/>
      <c r="L199" s="1"/>
      <c r="M199" s="201"/>
      <c r="Q199" s="25" t="s">
        <v>84</v>
      </c>
      <c r="R199" s="241">
        <f>+GETPIVOTDATA("Sum of Old-HS % of Total",'Pivot-HS Student % of Undergrad'!$A$3,"State","KY","Category",12,"Category2","Technical")</f>
        <v>6.314756243865198E-2</v>
      </c>
      <c r="S199" s="807">
        <f t="shared" si="15"/>
        <v>6.3431499735464025E-3</v>
      </c>
      <c r="T199" s="242">
        <f>+GETPIVOTDATA("Sum of Old-HS % of Total",'Pivot-HS Student % of Undergrad'!$A$3,"State","KY","Category",13,"Category2","Technical")</f>
        <v>0</v>
      </c>
      <c r="U199" s="807">
        <f t="shared" si="16"/>
        <v>0</v>
      </c>
      <c r="V199" s="242">
        <f>+GETPIVOTDATA("Sum of Old-HS % of Total",'Pivot-HS Student % of Undergrad'!$A$3,"State","KY","Category2","Technical")</f>
        <v>6.314756243865198E-2</v>
      </c>
      <c r="W199" s="808">
        <f t="shared" si="17"/>
        <v>6.3431499735464025E-3</v>
      </c>
      <c r="X199" s="742"/>
      <c r="Y199" s="744"/>
      <c r="AA199" s="146"/>
      <c r="AB199" s="146"/>
      <c r="AC199" s="100" t="s">
        <v>84</v>
      </c>
      <c r="AD199" s="81">
        <f>+B199</f>
        <v>4817.2</v>
      </c>
      <c r="AE199" s="80">
        <f>+D199</f>
        <v>0</v>
      </c>
      <c r="AF199" s="80">
        <f>+F199</f>
        <v>4817.2</v>
      </c>
      <c r="AG199" s="80"/>
      <c r="AH199" s="100"/>
      <c r="AI199" s="100" t="s">
        <v>84</v>
      </c>
      <c r="AJ199" s="99">
        <f>+'NEW-Tables 80-86'!W109+'NEW-Tables 80-86'!V139</f>
        <v>4584.5</v>
      </c>
      <c r="AK199" s="98">
        <f>+'NEW-Tables 80-86'!X109+'NEW-Tables 80-86'!W139</f>
        <v>0</v>
      </c>
      <c r="AL199" s="80">
        <f>+'NEW-Tables 80-86'!Y109+'NEW-Tables 80-86'!X139</f>
        <v>4584.5</v>
      </c>
      <c r="AN199" s="25"/>
      <c r="BA199" s="25"/>
      <c r="BB199" s="25"/>
      <c r="BC199" s="25"/>
    </row>
    <row r="200" spans="1:55">
      <c r="A200" s="1" t="s">
        <v>85</v>
      </c>
      <c r="B200" s="32">
        <f>+'NEW-Tables 80-86'!G110+'NEW-Tables 80-86'!G140</f>
        <v>18658.816666666669</v>
      </c>
      <c r="C200" s="96">
        <f>+GETPIVOTDATA("Sum of New-HS % of Total",'Pivot-HS Student % of Undergrad'!$A$3,"State","LA","Category",12,"Category2","Technical")</f>
        <v>0.12798953845769068</v>
      </c>
      <c r="D200" s="175">
        <f>+'NEW-Tables 80-86'!H110+'NEW-Tables 80-86'!H140</f>
        <v>0</v>
      </c>
      <c r="E200" s="96">
        <f>+GETPIVOTDATA("Sum of New-HS % of Total",'Pivot-HS Student % of Undergrad'!$A$3,"State","LA","Category",13,"Category2","Technical")</f>
        <v>0</v>
      </c>
      <c r="F200" s="175">
        <f>+'NEW-Tables 80-86'!I110+'NEW-Tables 80-86'!I140</f>
        <v>18658.816666666669</v>
      </c>
      <c r="G200" s="96">
        <f>+GETPIVOTDATA("Sum of New-HS % of Total",'Pivot-HS Student % of Undergrad'!$A$3,"State","LA","Category2","Group3")</f>
        <v>0.12798953845769068</v>
      </c>
      <c r="J200" s="1"/>
      <c r="K200" s="1"/>
      <c r="L200" s="1"/>
      <c r="M200" s="201"/>
      <c r="Q200" s="25" t="s">
        <v>85</v>
      </c>
      <c r="R200" s="241">
        <f>+GETPIVOTDATA("Sum of Old-HS % of Total",'Pivot-HS Student % of Undergrad'!$A$3,"State","LA","Category",12,"Category2","Technical")</f>
        <v>0.13525883891441962</v>
      </c>
      <c r="S200" s="807">
        <f t="shared" si="15"/>
        <v>-0.72693004567289388</v>
      </c>
      <c r="T200" s="242">
        <f>+GETPIVOTDATA("Sum of Old-HS % of Total",'Pivot-HS Student % of Undergrad'!$A$3,"State","LA","Category",13,"Category2","Technical")</f>
        <v>0</v>
      </c>
      <c r="U200" s="807">
        <f t="shared" si="16"/>
        <v>0</v>
      </c>
      <c r="V200" s="242">
        <f>+GETPIVOTDATA("Sum of Old-HS % of Total",'Pivot-HS Student % of Undergrad'!$A$3,"State","LA","Category2","Technical")</f>
        <v>0.13525883891441962</v>
      </c>
      <c r="W200" s="807">
        <f t="shared" si="17"/>
        <v>-0.72693004567289388</v>
      </c>
      <c r="X200" s="742"/>
      <c r="Y200" s="744"/>
      <c r="AA200" s="146"/>
      <c r="AB200" s="146"/>
      <c r="AC200" s="100" t="s">
        <v>85</v>
      </c>
      <c r="AD200" s="81">
        <f>+B200</f>
        <v>18658.816666666669</v>
      </c>
      <c r="AE200" s="80">
        <f>+D200</f>
        <v>0</v>
      </c>
      <c r="AF200" s="80">
        <f>+F200</f>
        <v>18658.816666666669</v>
      </c>
      <c r="AG200" s="80"/>
      <c r="AH200" s="100"/>
      <c r="AI200" s="100" t="s">
        <v>85</v>
      </c>
      <c r="AJ200" s="99">
        <f>+'NEW-Tables 80-86'!W110+'NEW-Tables 80-86'!V140</f>
        <v>19830.866666666669</v>
      </c>
      <c r="AK200" s="98">
        <f>+'NEW-Tables 80-86'!X110+'NEW-Tables 80-86'!W140</f>
        <v>0</v>
      </c>
      <c r="AL200" s="80">
        <f>+'NEW-Tables 80-86'!Y110+'NEW-Tables 80-86'!X140</f>
        <v>19830.866666666669</v>
      </c>
      <c r="AN200" s="25"/>
      <c r="BA200" s="25"/>
      <c r="BB200" s="25"/>
      <c r="BC200" s="25"/>
    </row>
    <row r="201" spans="1:55">
      <c r="A201" s="1" t="s">
        <v>86</v>
      </c>
      <c r="B201" s="32">
        <f>+'NEW-Tables 80-86'!G111+'NEW-Tables 80-86'!G141</f>
        <v>0</v>
      </c>
      <c r="C201" s="96">
        <f>+GETPIVOTDATA("Sum of New-HS % of Total",'Pivot-HS Student % of Undergrad'!$A$3,"State","MD","Category",12,"Category2","Technical")</f>
        <v>0</v>
      </c>
      <c r="D201" s="175">
        <f>+'NEW-Tables 80-86'!H111+'NEW-Tables 80-86'!H141</f>
        <v>0</v>
      </c>
      <c r="E201" s="96">
        <f>+GETPIVOTDATA("Sum of New-HS % of Total",'Pivot-HS Student % of Undergrad'!$A$3,"State","MD","Category",13,"Category2","Technical")</f>
        <v>0</v>
      </c>
      <c r="F201" s="175">
        <f>+'NEW-Tables 80-86'!I111+'NEW-Tables 80-86'!I141</f>
        <v>0</v>
      </c>
      <c r="G201" s="96">
        <f>+GETPIVOTDATA("Sum of New-HS % of Total",'Pivot-HS Student % of Undergrad'!$A$3,"State","MD","Category2","Group3")</f>
        <v>0</v>
      </c>
      <c r="J201" s="1"/>
      <c r="K201" s="1"/>
      <c r="L201" s="1"/>
      <c r="M201" s="201"/>
      <c r="Q201" s="25" t="s">
        <v>86</v>
      </c>
      <c r="R201" s="241">
        <f>+GETPIVOTDATA("Sum of Old-HS % of Total",'Pivot-HS Student % of Undergrad'!$A$3,"State","MD","Category",12,"Category2","Technical")</f>
        <v>0</v>
      </c>
      <c r="S201" s="807">
        <f t="shared" si="15"/>
        <v>0</v>
      </c>
      <c r="T201" s="242">
        <f>+GETPIVOTDATA("Sum of Old-HS % of Total",'Pivot-HS Student % of Undergrad'!$A$3,"State","MD","Category",13,"Category2","Technical")</f>
        <v>0</v>
      </c>
      <c r="U201" s="807">
        <f t="shared" si="16"/>
        <v>0</v>
      </c>
      <c r="V201" s="242">
        <f>+GETPIVOTDATA("Sum of Old-HS % of Total",'Pivot-HS Student % of Undergrad'!$A$3,"State","MD","Category2","Technical")</f>
        <v>0</v>
      </c>
      <c r="W201" s="807">
        <f t="shared" si="17"/>
        <v>0</v>
      </c>
      <c r="X201" s="742"/>
      <c r="Y201" s="744"/>
      <c r="AA201" s="146"/>
      <c r="AB201" s="146"/>
      <c r="AC201" s="100" t="s">
        <v>86</v>
      </c>
      <c r="AD201" s="81">
        <f>+B201</f>
        <v>0</v>
      </c>
      <c r="AE201" s="80">
        <f>+D201</f>
        <v>0</v>
      </c>
      <c r="AF201" s="80">
        <f>+F201</f>
        <v>0</v>
      </c>
      <c r="AG201" s="80"/>
      <c r="AH201" s="100"/>
      <c r="AI201" s="100" t="s">
        <v>86</v>
      </c>
      <c r="AJ201" s="99">
        <f>+'NEW-Tables 80-86'!W111+'NEW-Tables 80-86'!V141</f>
        <v>0</v>
      </c>
      <c r="AK201" s="98">
        <f>+'NEW-Tables 80-86'!X111+'NEW-Tables 80-86'!W141</f>
        <v>0</v>
      </c>
      <c r="AL201" s="80">
        <f>+'NEW-Tables 80-86'!Y111+'NEW-Tables 80-86'!X141</f>
        <v>0</v>
      </c>
      <c r="AN201" s="25"/>
      <c r="BA201" s="25"/>
      <c r="BB201" s="25"/>
      <c r="BC201" s="25"/>
    </row>
    <row r="202" spans="1:55">
      <c r="B202" s="32"/>
      <c r="C202" s="96"/>
      <c r="D202" s="175"/>
      <c r="E202" s="96"/>
      <c r="F202" s="175"/>
      <c r="G202" s="96"/>
      <c r="J202" s="1"/>
      <c r="K202" s="1"/>
      <c r="L202" s="1"/>
      <c r="M202" s="201"/>
      <c r="Q202" s="25"/>
      <c r="R202" s="241"/>
      <c r="S202" s="807"/>
      <c r="T202" s="242"/>
      <c r="U202" s="807"/>
      <c r="V202" s="242"/>
      <c r="W202" s="807"/>
      <c r="X202" s="742"/>
      <c r="Y202" s="744"/>
      <c r="AA202" s="146"/>
      <c r="AB202" s="146"/>
      <c r="AC202" s="100"/>
      <c r="AD202" s="81"/>
      <c r="AE202" s="80"/>
      <c r="AF202" s="80"/>
      <c r="AG202" s="80"/>
      <c r="AH202" s="100"/>
      <c r="AI202" s="100"/>
      <c r="AJ202" s="99"/>
      <c r="AK202" s="98"/>
      <c r="AL202" s="80"/>
      <c r="AN202" s="25"/>
      <c r="BA202" s="25"/>
      <c r="BB202" s="25"/>
      <c r="BC202" s="25"/>
    </row>
    <row r="203" spans="1:55">
      <c r="A203" s="1" t="s">
        <v>87</v>
      </c>
      <c r="B203" s="32">
        <f>+'NEW-Tables 80-86'!G113+'NEW-Tables 80-86'!G143</f>
        <v>0</v>
      </c>
      <c r="C203" s="96">
        <f>+GETPIVOTDATA("Sum of New-HS % of Total",'Pivot-HS Student % of Undergrad'!$A$3,"State","MS","Category",12,"Category2","Technical")</f>
        <v>0</v>
      </c>
      <c r="D203" s="175">
        <f>+'NEW-Tables 80-86'!H113+'NEW-Tables 80-86'!H143</f>
        <v>0</v>
      </c>
      <c r="E203" s="96">
        <f>+GETPIVOTDATA("Sum of New-HS % of Total",'Pivot-HS Student % of Undergrad'!$A$3,"State","MS","Category",13,"Category2","Technical")</f>
        <v>0</v>
      </c>
      <c r="F203" s="175">
        <f>+'NEW-Tables 80-86'!I113+'NEW-Tables 80-86'!I143</f>
        <v>0</v>
      </c>
      <c r="G203" s="96">
        <f>+GETPIVOTDATA("Sum of New-HS % of Total",'Pivot-HS Student % of Undergrad'!$A$3,"State","MS","Category2","Group3")</f>
        <v>0</v>
      </c>
      <c r="J203" s="1"/>
      <c r="K203" s="1"/>
      <c r="L203" s="1"/>
      <c r="M203" s="201"/>
      <c r="Q203" s="25" t="s">
        <v>87</v>
      </c>
      <c r="R203" s="241">
        <f>+GETPIVOTDATA("Sum of Old-HS % of Total",'Pivot-HS Student % of Undergrad'!$A$3,"State","MS","Category",12,"Category2","Technical")</f>
        <v>0</v>
      </c>
      <c r="S203" s="807">
        <f t="shared" si="15"/>
        <v>0</v>
      </c>
      <c r="T203" s="242">
        <f>+GETPIVOTDATA("Sum of Old-HS % of Total",'Pivot-HS Student % of Undergrad'!$A$3,"State","MS","Category",13,"Category2","Technical")</f>
        <v>0</v>
      </c>
      <c r="U203" s="807">
        <f t="shared" si="16"/>
        <v>0</v>
      </c>
      <c r="V203" s="242">
        <f>+GETPIVOTDATA("Sum of Old-HS % of Total",'Pivot-HS Student % of Undergrad'!$A$3,"State","MS","Category2","Technical")</f>
        <v>0</v>
      </c>
      <c r="W203" s="807">
        <f t="shared" si="17"/>
        <v>0</v>
      </c>
      <c r="X203" s="742"/>
      <c r="Y203" s="744"/>
      <c r="AA203" s="146"/>
      <c r="AB203" s="146"/>
      <c r="AC203" s="100" t="s">
        <v>87</v>
      </c>
      <c r="AD203" s="81">
        <f>+B203</f>
        <v>0</v>
      </c>
      <c r="AE203" s="80">
        <f>+D203</f>
        <v>0</v>
      </c>
      <c r="AF203" s="80">
        <f>+F203</f>
        <v>0</v>
      </c>
      <c r="AG203" s="80"/>
      <c r="AH203" s="100"/>
      <c r="AI203" s="100" t="s">
        <v>87</v>
      </c>
      <c r="AJ203" s="99">
        <f>+'NEW-Tables 80-86'!W113+'NEW-Tables 80-86'!V143</f>
        <v>0</v>
      </c>
      <c r="AK203" s="98">
        <f>+'NEW-Tables 80-86'!X113+'NEW-Tables 80-86'!W143</f>
        <v>0</v>
      </c>
      <c r="AL203" s="80">
        <f>+'NEW-Tables 80-86'!Y113+'NEW-Tables 80-86'!X143</f>
        <v>0</v>
      </c>
      <c r="AN203" s="25"/>
      <c r="BA203" s="25"/>
      <c r="BB203" s="25"/>
      <c r="BC203" s="25"/>
    </row>
    <row r="204" spans="1:55">
      <c r="A204" s="1" t="s">
        <v>88</v>
      </c>
      <c r="B204" s="32">
        <f>+'NEW-Tables 80-86'!G114+'NEW-Tables 80-86'!G144</f>
        <v>0</v>
      </c>
      <c r="C204" s="96">
        <f>+GETPIVOTDATA("Sum of New-HS % of Total",'Pivot-HS Student % of Undergrad'!$A$3,"State","NC","Category",12,"Category2","Technical")</f>
        <v>0</v>
      </c>
      <c r="D204" s="175">
        <f>+'NEW-Tables 80-86'!H114+'NEW-Tables 80-86'!H144</f>
        <v>0</v>
      </c>
      <c r="E204" s="96">
        <f>+GETPIVOTDATA("Sum of New-HS % of Total",'Pivot-HS Student % of Undergrad'!$A$3,"State","NC","Category",13,"Category2","Technical")</f>
        <v>0</v>
      </c>
      <c r="F204" s="175">
        <f>+'NEW-Tables 80-86'!I114+'NEW-Tables 80-86'!I144</f>
        <v>0</v>
      </c>
      <c r="G204" s="96">
        <f>+GETPIVOTDATA("Sum of New-HS % of Total",'Pivot-HS Student % of Undergrad'!$A$3,"State","NC","Category2","Group3")</f>
        <v>0</v>
      </c>
      <c r="J204" s="1"/>
      <c r="K204" s="1"/>
      <c r="L204" s="1"/>
      <c r="M204" s="201"/>
      <c r="Q204" s="25" t="s">
        <v>88</v>
      </c>
      <c r="R204" s="241">
        <f>+GETPIVOTDATA("Sum of Old-HS % of Total",'Pivot-HS Student % of Undergrad'!$A$3,"State","NC","Category",12,"Category2","Technical")</f>
        <v>0</v>
      </c>
      <c r="S204" s="807">
        <f t="shared" si="15"/>
        <v>0</v>
      </c>
      <c r="T204" s="242">
        <f>+GETPIVOTDATA("Sum of Old-HS % of Total",'Pivot-HS Student % of Undergrad'!$A$3,"State","NC","Category",13,"Category2","Technical")</f>
        <v>0</v>
      </c>
      <c r="U204" s="807">
        <f t="shared" si="16"/>
        <v>0</v>
      </c>
      <c r="V204" s="242">
        <f>+GETPIVOTDATA("Sum of Old-HS % of Total",'Pivot-HS Student % of Undergrad'!$A$3,"State","NC","Category2","Technical")</f>
        <v>0</v>
      </c>
      <c r="W204" s="807">
        <f t="shared" si="17"/>
        <v>0</v>
      </c>
      <c r="X204" s="742"/>
      <c r="Y204" s="745"/>
      <c r="AA204" s="146"/>
      <c r="AB204" s="146"/>
      <c r="AC204" s="100" t="s">
        <v>88</v>
      </c>
      <c r="AD204" s="81">
        <f>+B204</f>
        <v>0</v>
      </c>
      <c r="AE204" s="80">
        <f>+D204</f>
        <v>0</v>
      </c>
      <c r="AF204" s="80">
        <f>+F204</f>
        <v>0</v>
      </c>
      <c r="AG204" s="80"/>
      <c r="AH204" s="100"/>
      <c r="AI204" s="100" t="s">
        <v>88</v>
      </c>
      <c r="AJ204" s="99">
        <f>+'NEW-Tables 80-86'!W114+'NEW-Tables 80-86'!V144</f>
        <v>0</v>
      </c>
      <c r="AK204" s="98">
        <f>+'NEW-Tables 80-86'!X114+'NEW-Tables 80-86'!W144</f>
        <v>0</v>
      </c>
      <c r="AL204" s="80">
        <f>+'NEW-Tables 80-86'!Y114+'NEW-Tables 80-86'!X144</f>
        <v>0</v>
      </c>
      <c r="AN204" s="25"/>
      <c r="BA204" s="25"/>
      <c r="BB204" s="25"/>
      <c r="BC204" s="25"/>
    </row>
    <row r="205" spans="1:55">
      <c r="A205" s="1" t="s">
        <v>89</v>
      </c>
      <c r="B205" s="32">
        <f>+'NEW-Tables 80-86'!G115+'NEW-Tables 80-86'!G145</f>
        <v>4304.7606777777773</v>
      </c>
      <c r="C205" s="96">
        <f>+GETPIVOTDATA("Sum of New-HS % of Total",'Pivot-HS Student % of Undergrad'!$A$3,"State","OK","Category",12,"Category2","Technical")</f>
        <v>0</v>
      </c>
      <c r="D205" s="175">
        <f>+'NEW-Tables 80-86'!H115+'NEW-Tables 80-86'!H145</f>
        <v>16254.157633333331</v>
      </c>
      <c r="E205" s="96">
        <f>+GETPIVOTDATA("Sum of New-HS % of Total",'Pivot-HS Student % of Undergrad'!$A$3,"State","OK","Category",13,"Category2","Technical")</f>
        <v>0</v>
      </c>
      <c r="F205" s="175">
        <f>+'NEW-Tables 80-86'!I115+'NEW-Tables 80-86'!I145</f>
        <v>20558.918311111109</v>
      </c>
      <c r="G205" s="96">
        <f>+GETPIVOTDATA("Sum of New-HS % of Total",'Pivot-HS Student % of Undergrad'!$A$3,"State","OK","Category2","Group3")</f>
        <v>0</v>
      </c>
      <c r="J205" s="1"/>
      <c r="K205" s="1"/>
      <c r="L205" s="1"/>
      <c r="M205" s="201"/>
      <c r="Q205" s="25" t="s">
        <v>89</v>
      </c>
      <c r="R205" s="241">
        <f>+GETPIVOTDATA("Sum of Old-HS % of Total",'Pivot-HS Student % of Undergrad'!$A$3,"State","OK","Category",12,"Category2","Technical")</f>
        <v>0</v>
      </c>
      <c r="S205" s="807">
        <f t="shared" si="15"/>
        <v>0</v>
      </c>
      <c r="T205" s="242">
        <f>+GETPIVOTDATA("Sum of Old-HS % of Total",'Pivot-HS Student % of Undergrad'!$A$3,"State","OK","Category",13,"Category2","Technical")</f>
        <v>0</v>
      </c>
      <c r="U205" s="807">
        <f t="shared" si="16"/>
        <v>0</v>
      </c>
      <c r="V205" s="242">
        <f>+GETPIVOTDATA("Sum of Old-HS % of Total",'Pivot-HS Student % of Undergrad'!$A$3,"State","OK","Category2","Technical")</f>
        <v>0</v>
      </c>
      <c r="W205" s="807">
        <f t="shared" si="17"/>
        <v>0</v>
      </c>
      <c r="X205" s="742"/>
      <c r="Y205" s="744"/>
      <c r="AA205" s="146"/>
      <c r="AB205" s="146"/>
      <c r="AC205" s="100" t="s">
        <v>89</v>
      </c>
      <c r="AD205" s="81">
        <f>+B205</f>
        <v>4304.7606777777773</v>
      </c>
      <c r="AE205" s="80">
        <f>+D205</f>
        <v>16254.157633333331</v>
      </c>
      <c r="AF205" s="80">
        <f>+F205</f>
        <v>20558.918311111109</v>
      </c>
      <c r="AG205" s="80"/>
      <c r="AH205" s="100"/>
      <c r="AI205" s="100" t="s">
        <v>89</v>
      </c>
      <c r="AJ205" s="99">
        <f>+'NEW-Tables 80-86'!W115+'NEW-Tables 80-86'!V145</f>
        <v>4723.4119777777778</v>
      </c>
      <c r="AK205" s="98">
        <f>+'NEW-Tables 80-86'!X115+'NEW-Tables 80-86'!W145</f>
        <v>16921.855233333339</v>
      </c>
      <c r="AL205" s="80">
        <f>+'NEW-Tables 80-86'!Y115+'NEW-Tables 80-86'!X145</f>
        <v>21645.267211111117</v>
      </c>
      <c r="AN205" s="25"/>
      <c r="BA205" s="25"/>
      <c r="BB205" s="25"/>
      <c r="BC205" s="25"/>
    </row>
    <row r="206" spans="1:55">
      <c r="A206" s="1" t="s">
        <v>90</v>
      </c>
      <c r="B206" s="32">
        <f>+'NEW-Tables 80-86'!G116+'NEW-Tables 80-86'!G146</f>
        <v>0</v>
      </c>
      <c r="C206" s="96">
        <f>+GETPIVOTDATA("Sum of New-HS % of Total",'Pivot-HS Student % of Undergrad'!$A$3,"State","SC","Category",12,"Category2","Technical")</f>
        <v>0</v>
      </c>
      <c r="D206" s="175">
        <f>+'NEW-Tables 80-86'!H116+'NEW-Tables 80-86'!H146</f>
        <v>0</v>
      </c>
      <c r="E206" s="96">
        <f>+GETPIVOTDATA("Sum of New-HS % of Total",'Pivot-HS Student % of Undergrad'!$A$3,"State","SC","Category",13,"Category2","Technical")</f>
        <v>0</v>
      </c>
      <c r="F206" s="175">
        <f>+'NEW-Tables 80-86'!I116+'NEW-Tables 80-86'!I146</f>
        <v>0</v>
      </c>
      <c r="G206" s="96">
        <f>+GETPIVOTDATA("Sum of New-HS % of Total",'Pivot-HS Student % of Undergrad'!$A$3,"State","SC","Category2","Group3")</f>
        <v>0</v>
      </c>
      <c r="J206" s="1"/>
      <c r="K206" s="1"/>
      <c r="L206" s="1"/>
      <c r="M206" s="201"/>
      <c r="Q206" s="25" t="s">
        <v>90</v>
      </c>
      <c r="R206" s="241">
        <f>+GETPIVOTDATA("Sum of Old-HS % of Total",'Pivot-HS Student % of Undergrad'!$A$3,"State","SC","Category",12,"Category2","Technical")</f>
        <v>0</v>
      </c>
      <c r="S206" s="807">
        <f t="shared" si="15"/>
        <v>0</v>
      </c>
      <c r="T206" s="242">
        <f>+GETPIVOTDATA("Sum of Old-HS % of Total",'Pivot-HS Student % of Undergrad'!$A$3,"State","SC","Category",13,"Category2","Technical")</f>
        <v>0</v>
      </c>
      <c r="U206" s="807">
        <f t="shared" si="16"/>
        <v>0</v>
      </c>
      <c r="V206" s="242">
        <f>+GETPIVOTDATA("Sum of Old-HS % of Total",'Pivot-HS Student % of Undergrad'!$A$3,"State","SC","Category2","Technical")</f>
        <v>0</v>
      </c>
      <c r="W206" s="807">
        <f t="shared" si="17"/>
        <v>0</v>
      </c>
      <c r="X206" s="742"/>
      <c r="Y206" s="744"/>
      <c r="AA206" s="146"/>
      <c r="AB206" s="146"/>
      <c r="AC206" s="100" t="s">
        <v>90</v>
      </c>
      <c r="AD206" s="81">
        <f>+B206</f>
        <v>0</v>
      </c>
      <c r="AE206" s="80">
        <f>+D206</f>
        <v>0</v>
      </c>
      <c r="AF206" s="80">
        <f>+F206</f>
        <v>0</v>
      </c>
      <c r="AG206" s="80"/>
      <c r="AH206" s="100"/>
      <c r="AI206" s="100" t="s">
        <v>90</v>
      </c>
      <c r="AJ206" s="99">
        <f>+'NEW-Tables 80-86'!W116+'NEW-Tables 80-86'!V146</f>
        <v>0</v>
      </c>
      <c r="AK206" s="98">
        <f>+'NEW-Tables 80-86'!X116+'NEW-Tables 80-86'!W146</f>
        <v>0</v>
      </c>
      <c r="AL206" s="80">
        <f>+'NEW-Tables 80-86'!Y116+'NEW-Tables 80-86'!X146</f>
        <v>0</v>
      </c>
      <c r="AN206" s="25"/>
      <c r="BA206" s="25"/>
      <c r="BB206" s="25"/>
      <c r="BC206" s="25"/>
    </row>
    <row r="207" spans="1:55" ht="11.25" customHeight="1">
      <c r="B207" s="32"/>
      <c r="C207" s="96"/>
      <c r="D207" s="175"/>
      <c r="E207" s="96"/>
      <c r="F207" s="175"/>
      <c r="G207" s="96"/>
      <c r="J207" s="1"/>
      <c r="K207" s="1"/>
      <c r="L207" s="1"/>
      <c r="M207" s="201"/>
      <c r="Q207" s="25"/>
      <c r="R207" s="241"/>
      <c r="S207" s="807">
        <f t="shared" si="15"/>
        <v>0</v>
      </c>
      <c r="T207" s="242"/>
      <c r="U207" s="807">
        <f t="shared" si="16"/>
        <v>0</v>
      </c>
      <c r="V207" s="242"/>
      <c r="W207" s="807">
        <f t="shared" si="17"/>
        <v>0</v>
      </c>
      <c r="X207" s="742"/>
      <c r="Y207" s="744"/>
      <c r="AA207" s="146"/>
      <c r="AB207" s="146"/>
      <c r="AC207" s="100"/>
      <c r="AD207" s="81"/>
      <c r="AE207" s="80"/>
      <c r="AF207" s="80"/>
      <c r="AG207" s="80"/>
      <c r="AH207" s="100"/>
      <c r="AI207" s="100"/>
      <c r="AJ207" s="99"/>
      <c r="AK207" s="98"/>
      <c r="AL207" s="80"/>
      <c r="AN207" s="25"/>
      <c r="BA207" s="25"/>
      <c r="BB207" s="25"/>
      <c r="BC207" s="25"/>
    </row>
    <row r="208" spans="1:55" ht="11.25" customHeight="1">
      <c r="A208" s="1" t="s">
        <v>91</v>
      </c>
      <c r="B208" s="32">
        <f>+'NEW-Tables 80-86'!G118+'NEW-Tables 80-86'!G148</f>
        <v>0</v>
      </c>
      <c r="C208" s="96">
        <f>+GETPIVOTDATA("Sum of New-HS % of Total",'Pivot-HS Student % of Undergrad'!$A$3,"State","TN","Category",12,"Category2","Technical")</f>
        <v>0</v>
      </c>
      <c r="D208" s="175">
        <f>+'NEW-Tables 80-86'!H118+'NEW-Tables 80-86'!H148</f>
        <v>15336.976666666666</v>
      </c>
      <c r="E208" s="96">
        <f>+GETPIVOTDATA("Sum of New-HS % of Total",'Pivot-HS Student % of Undergrad'!$A$3,"State","TN","Category",13,"Category2","Technical")</f>
        <v>0</v>
      </c>
      <c r="F208" s="175">
        <f>+'NEW-Tables 80-86'!I118+'NEW-Tables 80-86'!I148</f>
        <v>15336.976666666666</v>
      </c>
      <c r="G208" s="96">
        <f>+GETPIVOTDATA("Sum of New-HS % of Total",'Pivot-HS Student % of Undergrad'!$A$3,"State","TN","Category2","Group3")</f>
        <v>0</v>
      </c>
      <c r="J208" s="1"/>
      <c r="K208" s="1"/>
      <c r="L208" s="1"/>
      <c r="M208" s="201"/>
      <c r="Q208" s="25" t="s">
        <v>91</v>
      </c>
      <c r="R208" s="241">
        <f>+GETPIVOTDATA("Sum of Old-HS % of Total",'Pivot-HS Student % of Undergrad'!$A$3,"State","TN","Category",12,"Category2","Technical")</f>
        <v>0</v>
      </c>
      <c r="S208" s="807">
        <f t="shared" si="15"/>
        <v>0</v>
      </c>
      <c r="T208" s="242">
        <f>+GETPIVOTDATA("Sum of Old-HS % of Total",'Pivot-HS Student % of Undergrad'!$A$3,"State","TN","Category",13,"Category2","Technical")</f>
        <v>0</v>
      </c>
      <c r="U208" s="807">
        <f t="shared" si="16"/>
        <v>0</v>
      </c>
      <c r="V208" s="242">
        <f>+GETPIVOTDATA("Sum of Old-HS % of Total",'Pivot-HS Student % of Undergrad'!$A$3,"State","TN","Category2","Technical")</f>
        <v>0</v>
      </c>
      <c r="W208" s="807">
        <f t="shared" si="17"/>
        <v>0</v>
      </c>
      <c r="X208" s="742"/>
      <c r="Y208" s="744"/>
      <c r="AA208" s="146"/>
      <c r="AB208" s="146"/>
      <c r="AC208" s="100" t="s">
        <v>91</v>
      </c>
      <c r="AD208" s="81">
        <f>+B208</f>
        <v>0</v>
      </c>
      <c r="AE208" s="80">
        <f>+D208</f>
        <v>15336.976666666666</v>
      </c>
      <c r="AF208" s="80">
        <f>+F208</f>
        <v>15336.976666666666</v>
      </c>
      <c r="AG208" s="80"/>
      <c r="AH208" s="100"/>
      <c r="AI208" s="100" t="s">
        <v>91</v>
      </c>
      <c r="AJ208" s="99">
        <f>+'NEW-Tables 80-86'!W118+'NEW-Tables 80-86'!V148</f>
        <v>0</v>
      </c>
      <c r="AK208" s="98">
        <f>+'NEW-Tables 80-86'!X118+'NEW-Tables 80-86'!W148</f>
        <v>13277.441111111108</v>
      </c>
      <c r="AL208" s="80">
        <f>+'NEW-Tables 80-86'!Y118+'NEW-Tables 80-86'!X148</f>
        <v>13277.441111111108</v>
      </c>
      <c r="AN208" s="25"/>
      <c r="BA208" s="25"/>
      <c r="BB208" s="25"/>
      <c r="BC208" s="25"/>
    </row>
    <row r="209" spans="1:55">
      <c r="A209" s="1" t="s">
        <v>92</v>
      </c>
      <c r="B209" s="32">
        <f>+'NEW-Tables 80-86'!G119+'NEW-Tables 80-86'!G149</f>
        <v>0</v>
      </c>
      <c r="C209" s="210">
        <f>+GETPIVOTDATA("Sum of New-HS % of Total",'Pivot-HS Student % of Undergrad'!$A$3,"State","TX","Category",12,"Category2","Technical")</f>
        <v>0</v>
      </c>
      <c r="D209" s="175">
        <f>+'NEW-Tables 80-86'!H119+'NEW-Tables 80-86'!H149</f>
        <v>0</v>
      </c>
      <c r="E209" s="210">
        <f>+GETPIVOTDATA("Sum of New-HS % of Total",'Pivot-HS Student % of Undergrad'!$A$3,"State","TX","Category",13,"Category2","Technical")</f>
        <v>0</v>
      </c>
      <c r="F209" s="175">
        <f>+'NEW-Tables 80-86'!I119+'NEW-Tables 80-86'!I149</f>
        <v>0</v>
      </c>
      <c r="G209" s="96">
        <f>+GETPIVOTDATA("Sum of New-HS % of Total",'Pivot-HS Student % of Undergrad'!$A$3,"State","TX","Category2","Group3")</f>
        <v>0</v>
      </c>
      <c r="J209" s="1"/>
      <c r="K209" s="1"/>
      <c r="L209" s="1"/>
      <c r="M209" s="201"/>
      <c r="Q209" s="25" t="s">
        <v>92</v>
      </c>
      <c r="R209" s="241">
        <f>+GETPIVOTDATA("Sum of Old-HS % of Total",'Pivot-HS Student % of Undergrad'!$A$3,"State","TX","Category",12,"Category2","Technical")</f>
        <v>0</v>
      </c>
      <c r="S209" s="807">
        <f t="shared" si="15"/>
        <v>0</v>
      </c>
      <c r="T209" s="242">
        <f>+GETPIVOTDATA("Sum of Old-HS % of Total",'Pivot-HS Student % of Undergrad'!$A$3,"State","TX","Category",13,"Category2","Technical")</f>
        <v>0</v>
      </c>
      <c r="U209" s="807">
        <f t="shared" si="16"/>
        <v>0</v>
      </c>
      <c r="V209" s="242">
        <f>+GETPIVOTDATA("Sum of Old-HS % of Total",'Pivot-HS Student % of Undergrad'!$A$3,"State","TX","Category2","Technical")</f>
        <v>0</v>
      </c>
      <c r="W209" s="807">
        <f t="shared" si="17"/>
        <v>0</v>
      </c>
      <c r="X209" s="742"/>
      <c r="Y209" s="745"/>
      <c r="AA209" s="146"/>
      <c r="AB209" s="146"/>
      <c r="AC209" s="100" t="s">
        <v>92</v>
      </c>
      <c r="AD209" s="81">
        <f>+B209</f>
        <v>0</v>
      </c>
      <c r="AE209" s="80">
        <f>+D209</f>
        <v>0</v>
      </c>
      <c r="AF209" s="80">
        <f>+F209</f>
        <v>0</v>
      </c>
      <c r="AG209" s="80"/>
      <c r="AH209" s="100"/>
      <c r="AI209" s="100" t="s">
        <v>92</v>
      </c>
      <c r="AJ209" s="99">
        <f>+'NEW-Tables 80-86'!W119+'NEW-Tables 80-86'!V149</f>
        <v>0</v>
      </c>
      <c r="AK209" s="98">
        <f>+'NEW-Tables 80-86'!X119+'NEW-Tables 80-86'!W149</f>
        <v>0</v>
      </c>
      <c r="AL209" s="80">
        <f>+'NEW-Tables 80-86'!Y119+'NEW-Tables 80-86'!X149</f>
        <v>0</v>
      </c>
      <c r="AN209" s="25"/>
      <c r="BA209" s="25"/>
      <c r="BB209" s="25"/>
      <c r="BC209" s="25"/>
    </row>
    <row r="210" spans="1:55">
      <c r="A210" s="1" t="s">
        <v>93</v>
      </c>
      <c r="B210" s="32">
        <f>+'NEW-Tables 80-86'!G120+'NEW-Tables 80-86'!G150</f>
        <v>0</v>
      </c>
      <c r="C210" s="210">
        <f>+GETPIVOTDATA("Sum of New-HS % of Total",'Pivot-HS Student % of Undergrad'!$A$3,"State","VA","Category",12,"Category2","Technical")</f>
        <v>0</v>
      </c>
      <c r="D210" s="175">
        <f>+'NEW-Tables 80-86'!H120+'NEW-Tables 80-86'!H150</f>
        <v>0</v>
      </c>
      <c r="E210" s="210">
        <f>+GETPIVOTDATA("Sum of New-HS % of Total",'Pivot-HS Student % of Undergrad'!$A$3,"State","VA","Category",13,"Category2","Technical")</f>
        <v>0</v>
      </c>
      <c r="F210" s="175">
        <f>+'NEW-Tables 80-86'!I120+'NEW-Tables 80-86'!I150</f>
        <v>0</v>
      </c>
      <c r="G210" s="96">
        <f>+GETPIVOTDATA("Sum of New-HS % of Total",'Pivot-HS Student % of Undergrad'!$A$3,"State","VA","Category2","Group3")</f>
        <v>0</v>
      </c>
      <c r="J210" s="1"/>
      <c r="K210" s="1"/>
      <c r="L210" s="1"/>
      <c r="M210" s="201"/>
      <c r="Q210" s="25" t="s">
        <v>93</v>
      </c>
      <c r="R210" s="241">
        <f>+GETPIVOTDATA("Sum of Old-HS % of Total",'Pivot-HS Student % of Undergrad'!$A$3,"State","VA","Category",12,"Category2","Technical")</f>
        <v>0</v>
      </c>
      <c r="S210" s="807">
        <f t="shared" si="15"/>
        <v>0</v>
      </c>
      <c r="T210" s="242">
        <f>+GETPIVOTDATA("Sum of Old-HS % of Total",'Pivot-HS Student % of Undergrad'!$A$3,"State","VA","Category",13,"Category2","Technical")</f>
        <v>0</v>
      </c>
      <c r="U210" s="807">
        <f t="shared" si="16"/>
        <v>0</v>
      </c>
      <c r="V210" s="242">
        <f>+GETPIVOTDATA("Sum of Old-HS % of Total",'Pivot-HS Student % of Undergrad'!$A$3,"State","VA","Category2","Technical")</f>
        <v>0</v>
      </c>
      <c r="W210" s="807">
        <f t="shared" si="17"/>
        <v>0</v>
      </c>
      <c r="X210" s="742"/>
      <c r="Y210" s="744"/>
      <c r="AA210" s="146"/>
      <c r="AB210" s="146"/>
      <c r="AC210" s="100" t="s">
        <v>93</v>
      </c>
      <c r="AD210" s="81">
        <f>+B210</f>
        <v>0</v>
      </c>
      <c r="AE210" s="80">
        <f>+D210</f>
        <v>0</v>
      </c>
      <c r="AF210" s="80">
        <f>+F210</f>
        <v>0</v>
      </c>
      <c r="AG210" s="80"/>
      <c r="AH210" s="100"/>
      <c r="AI210" s="100" t="s">
        <v>93</v>
      </c>
      <c r="AJ210" s="99">
        <f>+'NEW-Tables 80-86'!W120+'NEW-Tables 80-86'!V150</f>
        <v>0</v>
      </c>
      <c r="AK210" s="98">
        <f>+'NEW-Tables 80-86'!X120+'NEW-Tables 80-86'!W150</f>
        <v>0</v>
      </c>
      <c r="AL210" s="80">
        <f>+'NEW-Tables 80-86'!Y120+'NEW-Tables 80-86'!X150</f>
        <v>0</v>
      </c>
      <c r="AN210" s="25"/>
      <c r="BA210" s="25"/>
      <c r="BB210" s="25"/>
      <c r="BC210" s="25"/>
    </row>
    <row r="211" spans="1:55">
      <c r="A211" s="3" t="s">
        <v>94</v>
      </c>
      <c r="B211" s="9">
        <f>+'NEW-Tables 80-86'!G121+'NEW-Tables 80-86'!G151</f>
        <v>0</v>
      </c>
      <c r="C211" s="212">
        <f>+GETPIVOTDATA("Sum of New-HS % of Total",'Pivot-HS Student % of Undergrad'!$A$3,"State","WV","Category",12,"Category2","Technical")</f>
        <v>0</v>
      </c>
      <c r="D211" s="176">
        <f>+'NEW-Tables 80-86'!H121+'NEW-Tables 80-86'!H151</f>
        <v>0</v>
      </c>
      <c r="E211" s="212">
        <f>+GETPIVOTDATA("Sum of New-HS % of Total",'Pivot-HS Student % of Undergrad'!$A$3,"State","WV","Category",13,"Category2","Technical")</f>
        <v>0</v>
      </c>
      <c r="F211" s="176">
        <f>+'NEW-Tables 80-86'!I121+'NEW-Tables 80-86'!I151</f>
        <v>0</v>
      </c>
      <c r="G211" s="212">
        <f>+GETPIVOTDATA("Sum of New-HS % of Total",'Pivot-HS Student % of Undergrad'!$A$3,"State","WV","Category2","Group3")</f>
        <v>0</v>
      </c>
      <c r="H211" s="73"/>
      <c r="I211" s="25"/>
      <c r="J211" s="1"/>
      <c r="K211" s="1"/>
      <c r="L211" s="1"/>
      <c r="M211" s="201"/>
      <c r="Q211" s="3" t="s">
        <v>94</v>
      </c>
      <c r="R211" s="749">
        <f>+GETPIVOTDATA("Sum of Old-HS % of Total",'Pivot-HS Student % of Undergrad'!$A$3,"State","WV","Category",12,"Category2","Technical")</f>
        <v>0</v>
      </c>
      <c r="S211" s="807">
        <f t="shared" si="15"/>
        <v>0</v>
      </c>
      <c r="T211" s="750">
        <f>+GETPIVOTDATA("Sum of Old-HS % of Total",'Pivot-HS Student % of Undergrad'!$A$3,"State","WV","Category",13,"Category2","Technical")</f>
        <v>0</v>
      </c>
      <c r="U211" s="807">
        <f t="shared" si="16"/>
        <v>0</v>
      </c>
      <c r="V211" s="750">
        <f>+GETPIVOTDATA("Sum of Old-HS % of Total",'Pivot-HS Student % of Undergrad'!$A$3,"State","WV","Category2","Technical")</f>
        <v>0</v>
      </c>
      <c r="W211" s="807">
        <f t="shared" si="17"/>
        <v>0</v>
      </c>
      <c r="X211" s="742"/>
      <c r="Y211" s="744"/>
      <c r="AA211" s="146"/>
      <c r="AB211" s="146"/>
      <c r="AC211" s="101" t="s">
        <v>94</v>
      </c>
      <c r="AD211" s="125">
        <f>+B211</f>
        <v>0</v>
      </c>
      <c r="AE211" s="97">
        <f>+D211</f>
        <v>0</v>
      </c>
      <c r="AF211" s="97">
        <f>+F211</f>
        <v>0</v>
      </c>
      <c r="AG211" s="97"/>
      <c r="AH211" s="100"/>
      <c r="AI211" s="101" t="s">
        <v>94</v>
      </c>
      <c r="AJ211" s="258">
        <f>+'NEW-Tables 80-86'!W121+'NEW-Tables 80-86'!V151</f>
        <v>0</v>
      </c>
      <c r="AK211" s="97">
        <f>+'NEW-Tables 80-86'!X121+'NEW-Tables 80-86'!W151</f>
        <v>0</v>
      </c>
      <c r="AL211" s="97">
        <f>+'NEW-Tables 80-86'!Y121+'NEW-Tables 80-86'!X151</f>
        <v>0</v>
      </c>
      <c r="AN211" s="25"/>
      <c r="BA211" s="25"/>
      <c r="BB211" s="25"/>
      <c r="BC211" s="25"/>
    </row>
    <row r="212" spans="1:55" ht="57.75" customHeight="1">
      <c r="A212" s="811" t="s">
        <v>1020</v>
      </c>
      <c r="B212" s="811"/>
      <c r="C212" s="811"/>
      <c r="D212" s="811"/>
      <c r="E212" s="811"/>
      <c r="F212" s="811"/>
      <c r="G212" s="811"/>
      <c r="H212" s="725"/>
      <c r="I212" s="725"/>
      <c r="J212" s="1"/>
      <c r="K212" s="1"/>
      <c r="L212" s="1"/>
      <c r="M212" s="201"/>
      <c r="AA212" s="146"/>
      <c r="AB212" s="146"/>
      <c r="AC212" s="146"/>
      <c r="AD212" s="146"/>
      <c r="AE212" s="146"/>
      <c r="AF212" s="146"/>
      <c r="BC212" s="25"/>
    </row>
    <row r="213" spans="1:55" ht="10.5" customHeight="1">
      <c r="B213" s="651"/>
      <c r="C213" s="651"/>
      <c r="D213" s="651"/>
      <c r="E213" s="651"/>
      <c r="F213" s="651"/>
      <c r="G213" s="169" t="s">
        <v>1018</v>
      </c>
      <c r="H213" s="651"/>
      <c r="I213" s="169"/>
      <c r="J213" s="1"/>
      <c r="K213" s="1"/>
      <c r="L213" s="1"/>
      <c r="M213" s="201"/>
      <c r="AA213" s="146"/>
      <c r="AB213" s="146"/>
      <c r="AC213" s="146"/>
      <c r="AD213" s="146"/>
      <c r="AE213" s="146"/>
      <c r="BA213" s="25"/>
      <c r="BB213" s="25"/>
      <c r="BC213" s="25"/>
    </row>
    <row r="214" spans="1:55" ht="13.5" customHeight="1">
      <c r="A214" s="163"/>
      <c r="B214" s="163"/>
      <c r="C214" s="163"/>
      <c r="D214" s="163"/>
      <c r="E214" s="163"/>
      <c r="F214" s="163"/>
      <c r="G214" s="163"/>
      <c r="H214" s="163"/>
      <c r="J214" s="1"/>
      <c r="K214" s="1"/>
      <c r="L214" s="1"/>
      <c r="M214" s="201"/>
      <c r="S214" s="169"/>
      <c r="BA214" s="25"/>
      <c r="BB214" s="25"/>
      <c r="BC214" s="25"/>
    </row>
    <row r="215" spans="1:55" ht="24" customHeight="1">
      <c r="A215" s="716" t="s">
        <v>258</v>
      </c>
      <c r="B215" s="20"/>
      <c r="C215" s="20"/>
      <c r="D215" s="34"/>
      <c r="E215" s="17"/>
      <c r="F215" s="22"/>
      <c r="G215" s="22"/>
      <c r="H215" s="106"/>
      <c r="L215" s="1"/>
      <c r="M215" s="201"/>
      <c r="AK215" s="146"/>
      <c r="BA215" s="25"/>
      <c r="BB215" s="25"/>
      <c r="BC215" s="25"/>
    </row>
    <row r="216" spans="1:55" ht="15.75">
      <c r="A216" s="21"/>
      <c r="B216" s="21"/>
      <c r="C216" s="21"/>
      <c r="D216" s="35"/>
      <c r="E216" s="17"/>
      <c r="F216" s="22"/>
      <c r="G216" s="22"/>
      <c r="H216" s="106"/>
      <c r="BA216" s="25"/>
      <c r="BB216" s="25"/>
      <c r="BC216" s="25"/>
    </row>
    <row r="217" spans="1:55" ht="18" customHeight="1">
      <c r="A217" s="43" t="s">
        <v>47</v>
      </c>
      <c r="B217" s="43"/>
      <c r="C217" s="43"/>
      <c r="D217" s="62"/>
      <c r="E217" s="17"/>
      <c r="F217" s="22"/>
      <c r="G217" s="22"/>
      <c r="H217" s="106"/>
    </row>
    <row r="218" spans="1:55" ht="15.75">
      <c r="A218" s="43" t="s">
        <v>40</v>
      </c>
      <c r="B218" s="43"/>
      <c r="C218" s="43"/>
      <c r="D218" s="62"/>
      <c r="E218" s="17"/>
      <c r="F218" s="22"/>
      <c r="G218" s="22"/>
      <c r="H218" s="106"/>
      <c r="Q218" s="1" t="s">
        <v>49</v>
      </c>
    </row>
    <row r="219" spans="1:55" ht="15.75">
      <c r="A219" s="43" t="s">
        <v>1017</v>
      </c>
      <c r="B219" s="43"/>
      <c r="C219" s="43"/>
      <c r="D219" s="62"/>
      <c r="E219" s="17"/>
      <c r="F219" s="22"/>
      <c r="G219" s="22"/>
      <c r="H219" s="106"/>
      <c r="I219" s="25"/>
      <c r="Q219" s="230" t="s">
        <v>205</v>
      </c>
      <c r="R219" s="230"/>
    </row>
    <row r="220" spans="1:55">
      <c r="B220" s="2"/>
      <c r="C220" s="2"/>
      <c r="D220" s="26"/>
      <c r="I220" s="25"/>
      <c r="Q220" s="131" t="s">
        <v>51</v>
      </c>
      <c r="R220" s="131"/>
      <c r="S220" s="68"/>
      <c r="T220" s="68"/>
      <c r="U220" s="78"/>
      <c r="V220" s="218" t="s">
        <v>7</v>
      </c>
      <c r="W220" s="219"/>
      <c r="X220" s="68"/>
      <c r="Y220" s="68"/>
      <c r="Z220" s="218" t="s">
        <v>157</v>
      </c>
      <c r="AA220" s="219"/>
      <c r="AB220" s="68"/>
      <c r="AC220" s="68"/>
    </row>
    <row r="221" spans="1:55" ht="39.75" customHeight="1">
      <c r="A221" s="63"/>
      <c r="B221" s="64" t="s">
        <v>77</v>
      </c>
      <c r="C221" s="36"/>
      <c r="D221" s="64" t="s">
        <v>78</v>
      </c>
      <c r="E221" s="65" t="s">
        <v>39</v>
      </c>
      <c r="F221" s="65" t="s">
        <v>56</v>
      </c>
      <c r="G221" s="66" t="s">
        <v>39</v>
      </c>
      <c r="H221" s="121" t="s">
        <v>70</v>
      </c>
      <c r="I221" s="74"/>
      <c r="Q221" s="69"/>
      <c r="R221" s="69" t="s">
        <v>77</v>
      </c>
      <c r="S221" s="69" t="s">
        <v>78</v>
      </c>
      <c r="T221" s="70" t="s">
        <v>56</v>
      </c>
      <c r="U221" s="79" t="s">
        <v>42</v>
      </c>
      <c r="V221" s="220" t="s">
        <v>77</v>
      </c>
      <c r="W221" s="69" t="s">
        <v>78</v>
      </c>
      <c r="X221" s="70" t="s">
        <v>56</v>
      </c>
      <c r="Y221" s="70" t="s">
        <v>42</v>
      </c>
      <c r="Z221" s="220" t="s">
        <v>77</v>
      </c>
      <c r="AA221" s="69" t="s">
        <v>78</v>
      </c>
      <c r="AB221" s="70" t="s">
        <v>56</v>
      </c>
      <c r="AC221" s="70" t="s">
        <v>42</v>
      </c>
    </row>
    <row r="222" spans="1:55" ht="11.25" customHeight="1">
      <c r="A222" s="1" t="s">
        <v>79</v>
      </c>
      <c r="B222" s="67">
        <f>+GETPIVOTDATA("Grand Total FTE - New",'FTE Pivot for regular counts'!$A$2,"Category2","Four-Year")</f>
        <v>2362466.9066666663</v>
      </c>
      <c r="D222" s="15">
        <f>+GETPIVOTDATA("Grand Total FTE - New",'FTE Pivot for regular counts'!$A$2,"Category2","Two-Year")</f>
        <v>1893659.1291111112</v>
      </c>
      <c r="F222" s="39">
        <f>+GETPIVOTDATA("Grand Total FTE - New",'FTE Pivot for regular counts'!$A$2,"Category2","Technical")</f>
        <v>160165.31164444442</v>
      </c>
      <c r="G222" s="37"/>
      <c r="H222" s="122">
        <f>+F222+D222+B222</f>
        <v>4416291.3474222217</v>
      </c>
      <c r="I222" s="25"/>
      <c r="Q222" s="1" t="s">
        <v>79</v>
      </c>
      <c r="R222" s="67">
        <f>+GETPIVOTDATA("Grand Total FTE - Old",'FTE Pivot for regular counts'!$A$2,"Category2","Four-Year")</f>
        <v>2319134.382777778</v>
      </c>
      <c r="S222" s="15">
        <f>+GETPIVOTDATA("Grand Total FTE - Old",'FTE Pivot for regular counts'!$A$2,"Category2","Two-Year")</f>
        <v>1887361.6738888889</v>
      </c>
      <c r="T222" s="39">
        <f>+GETPIVOTDATA("Grand Total FTE - Old",'FTE Pivot for regular counts'!$A$2,"Category2","Technical")</f>
        <v>166691.48731522221</v>
      </c>
      <c r="U222" s="88">
        <f>SUM(R222:T222)</f>
        <v>4373187.5439818893</v>
      </c>
      <c r="V222" s="755">
        <f>+B222-R222</f>
        <v>43332.523888888303</v>
      </c>
      <c r="W222" s="756">
        <f>+D222-S222</f>
        <v>6297.4552222222555</v>
      </c>
      <c r="X222" s="757">
        <f>+F222-T222</f>
        <v>-6526.1756707777968</v>
      </c>
      <c r="Y222" s="757">
        <f>+H222-U222</f>
        <v>43103.803440332413</v>
      </c>
      <c r="Z222" s="221">
        <f>(B222-R222)/R222</f>
        <v>1.8684783516937094E-2</v>
      </c>
      <c r="AA222" s="222">
        <f>(D222-S222)/S222</f>
        <v>3.3366446449272307E-3</v>
      </c>
      <c r="AB222" s="71">
        <f t="shared" ref="AB222:AB239" si="18">IF(T222&gt;0,((F222-T222)/T222),)</f>
        <v>-3.9151223472116851E-2</v>
      </c>
      <c r="AC222" s="71">
        <f>(H222-U222)/U222</f>
        <v>9.8563811880533706E-3</v>
      </c>
      <c r="AI222" s="96"/>
      <c r="AJ222" s="96"/>
      <c r="AK222" s="96"/>
      <c r="AL222" s="96"/>
    </row>
    <row r="223" spans="1:55" ht="15" customHeight="1">
      <c r="B223" s="15"/>
      <c r="D223" s="15"/>
      <c r="F223" s="15"/>
      <c r="G223" s="37"/>
      <c r="H223" s="15"/>
      <c r="I223" s="25"/>
      <c r="R223" s="15"/>
      <c r="S223" s="15"/>
      <c r="T223" s="15"/>
      <c r="U223" s="15"/>
      <c r="V223" s="755"/>
      <c r="W223" s="756"/>
      <c r="X223" s="757"/>
      <c r="Y223" s="757"/>
      <c r="Z223" s="221"/>
      <c r="AA223" s="222"/>
      <c r="AB223" s="71">
        <f t="shared" si="18"/>
        <v>0</v>
      </c>
      <c r="AC223" s="71"/>
      <c r="AI223" s="96"/>
      <c r="AJ223" s="96"/>
      <c r="AK223" s="96"/>
      <c r="AL223" s="96"/>
    </row>
    <row r="224" spans="1:55" ht="13.5" customHeight="1">
      <c r="A224" s="1" t="s">
        <v>80</v>
      </c>
      <c r="B224" s="15">
        <f>+GETPIVOTDATA("Grand Total FTE - New",'FTE Pivot for regular counts'!$A$2,"State","AL","Category2","Four-Year")</f>
        <v>133098.68333333335</v>
      </c>
      <c r="D224" s="15">
        <f>+GETPIVOTDATA("Grand Total FTE - New",'FTE Pivot for regular counts'!$A$2,"State","AL","Category2","Two-Year")</f>
        <v>74494.700000000012</v>
      </c>
      <c r="F224" s="39">
        <f>+GETPIVOTDATA("Grand Total FTE - New",'FTE Pivot for regular counts'!$A$2,"State","AL","Category2","Technical")</f>
        <v>4118.5666666666666</v>
      </c>
      <c r="G224" s="37"/>
      <c r="H224" s="122">
        <f t="shared" ref="H224:H239" si="19">+F224+D224+B224</f>
        <v>211711.95</v>
      </c>
      <c r="I224" s="25"/>
      <c r="Q224" s="1" t="s">
        <v>80</v>
      </c>
      <c r="R224" s="15">
        <f>+GETPIVOTDATA("Grand Total FTE - Old",'FTE Pivot for regular counts'!$A$2,"State","AL","Category2","Four-Year")</f>
        <v>130408.09166666667</v>
      </c>
      <c r="S224" s="15">
        <f>+GETPIVOTDATA("Grand Total FTE - Old",'FTE Pivot for regular counts'!$A$2,"State","AL","Category2","Two-Year")</f>
        <v>77119.266666666677</v>
      </c>
      <c r="T224" s="39">
        <f>+GETPIVOTDATA("Grand Total FTE - Old",'FTE Pivot for regular counts'!$A$2,"State","AL","Category2","Technical")</f>
        <v>4301.7333333333336</v>
      </c>
      <c r="U224" s="89">
        <f t="shared" ref="U224:U239" si="20">SUM(R224:T224)</f>
        <v>211829.09166666667</v>
      </c>
      <c r="V224" s="755">
        <f t="shared" ref="V224:V239" si="21">+B224-R224</f>
        <v>2690.5916666666744</v>
      </c>
      <c r="W224" s="756">
        <f t="shared" ref="W224:W239" si="22">+D224-S224</f>
        <v>-2624.5666666666657</v>
      </c>
      <c r="X224" s="757">
        <f t="shared" ref="X224:X239" si="23">+F224-T224</f>
        <v>-183.16666666666697</v>
      </c>
      <c r="Y224" s="757">
        <f t="shared" ref="Y224:Y239" si="24">+H224-U224</f>
        <v>-117.14166666666279</v>
      </c>
      <c r="Z224" s="221">
        <f t="shared" ref="Z224:Z239" si="25">(B224-R224)/R224</f>
        <v>2.0632091400770117E-2</v>
      </c>
      <c r="AA224" s="222">
        <f t="shared" ref="AA224:AA239" si="26">(D224-S224)/S224</f>
        <v>-3.4032567737072174E-2</v>
      </c>
      <c r="AB224" s="71">
        <f t="shared" si="18"/>
        <v>-4.2579735300499091E-2</v>
      </c>
      <c r="AC224" s="71">
        <f t="shared" ref="AC224:AC239" si="27">(H224-U224)/U224</f>
        <v>-5.5300084490281622E-4</v>
      </c>
      <c r="AI224" s="96"/>
      <c r="AJ224" s="96"/>
      <c r="AK224" s="96"/>
      <c r="AL224" s="96"/>
    </row>
    <row r="225" spans="1:83" ht="15" customHeight="1">
      <c r="A225" s="4" t="s">
        <v>81</v>
      </c>
      <c r="B225" s="15">
        <f>+GETPIVOTDATA("Grand Total FTE - New",'FTE Pivot for regular counts'!$A$2,"State","AR","Category2","Four-Year")</f>
        <v>80304.099999999991</v>
      </c>
      <c r="D225" s="15">
        <f>+GETPIVOTDATA("Grand Total FTE - New",'FTE Pivot for regular counts'!$A$2,"State","AR","Category2","Two-Year")</f>
        <v>45215.033333333326</v>
      </c>
      <c r="F225" s="39">
        <f>+GETPIVOTDATA("Grand Total FTE - New",'FTE Pivot for regular counts'!$A$2,"State","AR","Category2","Technical")</f>
        <v>0</v>
      </c>
      <c r="G225" s="37"/>
      <c r="H225" s="122">
        <f t="shared" si="19"/>
        <v>125519.13333333332</v>
      </c>
      <c r="I225" s="25"/>
      <c r="Q225" s="4" t="s">
        <v>81</v>
      </c>
      <c r="R225" s="15">
        <f>+GETPIVOTDATA("Grand Total FTE - Old",'FTE Pivot for regular counts'!$A$2,"State","AR","Category2","Four-Year")</f>
        <v>77295.408333333355</v>
      </c>
      <c r="S225" s="15">
        <f>+GETPIVOTDATA("Grand Total FTE - Old",'FTE Pivot for regular counts'!$A$2,"State","AR","Category2","Two-Year")</f>
        <v>45088.899999999994</v>
      </c>
      <c r="T225" s="39">
        <f>+GETPIVOTDATA("Grand Total FTE - Old",'FTE Pivot for regular counts'!$A$2,"State","AR","Category2","Technical")</f>
        <v>0</v>
      </c>
      <c r="U225" s="89">
        <f t="shared" si="20"/>
        <v>122384.30833333335</v>
      </c>
      <c r="V225" s="755">
        <f t="shared" si="21"/>
        <v>3008.6916666666366</v>
      </c>
      <c r="W225" s="756">
        <f t="shared" si="22"/>
        <v>126.13333333333139</v>
      </c>
      <c r="X225" s="757">
        <f t="shared" si="23"/>
        <v>0</v>
      </c>
      <c r="Y225" s="757">
        <f t="shared" si="24"/>
        <v>3134.824999999968</v>
      </c>
      <c r="Z225" s="221">
        <f t="shared" si="25"/>
        <v>3.8924584675091876E-2</v>
      </c>
      <c r="AA225" s="222">
        <f t="shared" si="26"/>
        <v>2.7974364717997424E-3</v>
      </c>
      <c r="AB225" s="71">
        <f t="shared" si="18"/>
        <v>0</v>
      </c>
      <c r="AC225" s="71">
        <f t="shared" si="27"/>
        <v>2.5614599148297411E-2</v>
      </c>
      <c r="AI225" s="96"/>
      <c r="AJ225" s="96"/>
      <c r="AK225" s="96"/>
      <c r="AL225" s="96"/>
    </row>
    <row r="226" spans="1:83" ht="15" customHeight="1">
      <c r="A226" s="1" t="s">
        <v>118</v>
      </c>
      <c r="B226" s="103">
        <f>+GETPIVOTDATA("Grand Total FTE - New",'FTE Pivot for regular counts'!$A$2,"State","DE","Category2","Four-Year")</f>
        <v>23455.125</v>
      </c>
      <c r="D226" s="15">
        <f>+GETPIVOTDATA("Grand Total FTE - New",'FTE Pivot for regular counts'!$A$2,"State","DE","Category2","Two-Year")</f>
        <v>11217.333333333332</v>
      </c>
      <c r="F226" s="39">
        <f>+GETPIVOTDATA("Grand Total FTE - New",'FTE Pivot for regular counts'!$A$2,"State","DE","Category2","Technical")</f>
        <v>0</v>
      </c>
      <c r="G226" s="37"/>
      <c r="H226" s="122">
        <f t="shared" si="19"/>
        <v>34672.458333333328</v>
      </c>
      <c r="I226" s="25"/>
      <c r="Q226" s="1" t="s">
        <v>118</v>
      </c>
      <c r="R226" s="103">
        <f>+GETPIVOTDATA("Grand Total FTE - Old",'FTE Pivot for regular counts'!$A$2,"State","DE","Category2","Four-Year")</f>
        <v>23198.133333333335</v>
      </c>
      <c r="S226" s="15">
        <f>+GETPIVOTDATA("Grand Total FTE - Old",'FTE Pivot for regular counts'!$A$2,"State","DE","Category2","Two-Year")</f>
        <v>11449.966666666667</v>
      </c>
      <c r="T226" s="39">
        <f>+GETPIVOTDATA("Grand Total FTE - Old",'FTE Pivot for regular counts'!$A$2,"State","DE","Category2","Technical")</f>
        <v>0</v>
      </c>
      <c r="U226" s="89">
        <f t="shared" si="20"/>
        <v>34648.100000000006</v>
      </c>
      <c r="V226" s="755">
        <f t="shared" si="21"/>
        <v>256.99166666666497</v>
      </c>
      <c r="W226" s="756">
        <f t="shared" si="22"/>
        <v>-232.63333333333503</v>
      </c>
      <c r="X226" s="757">
        <f t="shared" si="23"/>
        <v>0</v>
      </c>
      <c r="Y226" s="757">
        <f t="shared" si="24"/>
        <v>24.358333333322662</v>
      </c>
      <c r="Z226" s="221">
        <f t="shared" si="25"/>
        <v>1.1078118354350276E-2</v>
      </c>
      <c r="AA226" s="222">
        <f t="shared" si="26"/>
        <v>-2.0317380836625581E-2</v>
      </c>
      <c r="AB226" s="71">
        <f t="shared" si="18"/>
        <v>0</v>
      </c>
      <c r="AC226" s="71">
        <f t="shared" si="27"/>
        <v>7.0302075246038475E-4</v>
      </c>
      <c r="AI226" s="96"/>
      <c r="AJ226" s="96"/>
      <c r="AK226" s="96"/>
      <c r="AL226" s="96"/>
    </row>
    <row r="227" spans="1:83" ht="15" customHeight="1">
      <c r="A227" s="1" t="s">
        <v>82</v>
      </c>
      <c r="B227" s="15">
        <f>+GETPIVOTDATA("Grand Total FTE - New",'FTE Pivot for regular counts'!$A$2,"State","FL","Category2","Four-Year")</f>
        <v>293118.36666666664</v>
      </c>
      <c r="D227" s="15">
        <f>+GETPIVOTDATA("Grand Total FTE - New",'FTE Pivot for regular counts'!$A$2,"State","FL","Category2","Two-Year")</f>
        <v>377940.24888888892</v>
      </c>
      <c r="F227" s="39">
        <f>+GETPIVOTDATA("Grand Total FTE - New",'FTE Pivot for regular counts'!$A$2,"State","FL","Category2","Technical")</f>
        <v>0</v>
      </c>
      <c r="G227" s="37"/>
      <c r="H227" s="122">
        <f t="shared" si="19"/>
        <v>671058.61555555556</v>
      </c>
      <c r="I227" s="25"/>
      <c r="Q227" s="1" t="s">
        <v>82</v>
      </c>
      <c r="R227" s="15">
        <f>+GETPIVOTDATA("Grand Total FTE - Old",'FTE Pivot for regular counts'!$A$2,"State","FL","Category2","Four-Year")</f>
        <v>284915.64166666666</v>
      </c>
      <c r="S227" s="15">
        <f>+GETPIVOTDATA("Grand Total FTE - Old",'FTE Pivot for regular counts'!$A$2,"State","FL","Category2","Two-Year")</f>
        <v>375870.89222222223</v>
      </c>
      <c r="T227" s="39">
        <f>+GETPIVOTDATA("Grand Total FTE - Old",'FTE Pivot for regular counts'!$A$2,"State","FL","Category2","Technical")</f>
        <v>0</v>
      </c>
      <c r="U227" s="89">
        <f t="shared" si="20"/>
        <v>660786.53388888889</v>
      </c>
      <c r="V227" s="755">
        <f t="shared" si="21"/>
        <v>8202.7249999999767</v>
      </c>
      <c r="W227" s="756">
        <f t="shared" si="22"/>
        <v>2069.3566666666884</v>
      </c>
      <c r="X227" s="757">
        <f t="shared" si="23"/>
        <v>0</v>
      </c>
      <c r="Y227" s="757">
        <f t="shared" si="24"/>
        <v>10272.081666666665</v>
      </c>
      <c r="Z227" s="221">
        <f t="shared" si="25"/>
        <v>2.8790012903526889E-2</v>
      </c>
      <c r="AA227" s="222">
        <f t="shared" si="26"/>
        <v>5.5054985887102005E-3</v>
      </c>
      <c r="AB227" s="71">
        <f t="shared" si="18"/>
        <v>0</v>
      </c>
      <c r="AC227" s="71">
        <f t="shared" si="27"/>
        <v>1.5545234564955455E-2</v>
      </c>
      <c r="AI227" s="96"/>
      <c r="AJ227" s="96"/>
      <c r="AK227" s="96"/>
      <c r="AL227" s="96"/>
    </row>
    <row r="228" spans="1:83" ht="15" customHeight="1">
      <c r="A228" s="1" t="s">
        <v>83</v>
      </c>
      <c r="B228" s="15">
        <f>+GETPIVOTDATA("Grand Total FTE - New",'FTE Pivot for regular counts'!$A$2,"State","GA","Category2","Four-Year")</f>
        <v>214846.54166666669</v>
      </c>
      <c r="D228" s="15">
        <f>+GETPIVOTDATA("Grand Total FTE - New",'FTE Pivot for regular counts'!$A$2,"State","GA","Category2","Two-Year")</f>
        <v>64346.933333333327</v>
      </c>
      <c r="F228" s="39">
        <f>+GETPIVOTDATA("Grand Total FTE - New",'FTE Pivot for regular counts'!$A$2,"State","GA","Category2","Technical")</f>
        <v>96674.833333333328</v>
      </c>
      <c r="G228" s="37"/>
      <c r="H228" s="122">
        <f t="shared" si="19"/>
        <v>375868.30833333335</v>
      </c>
      <c r="I228" s="25"/>
      <c r="Q228" s="1" t="s">
        <v>83</v>
      </c>
      <c r="R228" s="15">
        <f>+GETPIVOTDATA("Grand Total FTE - Old",'FTE Pivot for regular counts'!$A$2,"State","GA","Category2","Four-Year")</f>
        <v>211017.74416666664</v>
      </c>
      <c r="S228" s="15">
        <f>+GETPIVOTDATA("Grand Total FTE - Old",'FTE Pivot for regular counts'!$A$2,"State","GA","Category2","Two-Year")</f>
        <v>63886.666666666664</v>
      </c>
      <c r="T228" s="39">
        <f>+GETPIVOTDATA("Grand Total FTE - Old",'FTE Pivot for regular counts'!$A$2,"State","GA","Category2","Technical")</f>
        <v>103051.67899299996</v>
      </c>
      <c r="U228" s="89">
        <f t="shared" si="20"/>
        <v>377956.08982633328</v>
      </c>
      <c r="V228" s="755">
        <f t="shared" si="21"/>
        <v>3828.7975000000442</v>
      </c>
      <c r="W228" s="756">
        <f t="shared" si="22"/>
        <v>460.26666666666279</v>
      </c>
      <c r="X228" s="757">
        <f t="shared" si="23"/>
        <v>-6376.8456596666365</v>
      </c>
      <c r="Y228" s="757">
        <f t="shared" si="24"/>
        <v>-2087.7814929999295</v>
      </c>
      <c r="Z228" s="221">
        <f t="shared" si="25"/>
        <v>1.8144433849013059E-2</v>
      </c>
      <c r="AA228" s="222">
        <f t="shared" si="26"/>
        <v>7.2044245017217389E-3</v>
      </c>
      <c r="AB228" s="71">
        <f t="shared" si="18"/>
        <v>-6.1880075336761854E-2</v>
      </c>
      <c r="AC228" s="71">
        <f t="shared" si="27"/>
        <v>-5.5238731408170788E-3</v>
      </c>
      <c r="AI228" s="96"/>
      <c r="AJ228" s="96"/>
      <c r="AK228" s="96"/>
      <c r="AL228" s="96"/>
    </row>
    <row r="229" spans="1:83" ht="15" customHeight="1">
      <c r="A229" s="1" t="s">
        <v>84</v>
      </c>
      <c r="B229" s="15">
        <f>+GETPIVOTDATA("Grand Total FTE - New",'FTE Pivot for regular counts'!$A$2,"State","KY","Category2","Four-Year")</f>
        <v>100361.02499999999</v>
      </c>
      <c r="D229" s="15">
        <f>+GETPIVOTDATA("Grand Total FTE - New",'FTE Pivot for regular counts'!$A$2,"State","KY","Category2","Two-Year")</f>
        <v>56073.7</v>
      </c>
      <c r="F229" s="39">
        <f>+GETPIVOTDATA("Grand Total FTE - New",'FTE Pivot for regular counts'!$A$2,"State","KY","Category2","Technical")</f>
        <v>4817.2</v>
      </c>
      <c r="G229" s="37"/>
      <c r="H229" s="122">
        <f t="shared" si="19"/>
        <v>161251.92499999999</v>
      </c>
      <c r="I229" s="25"/>
      <c r="Q229" s="1" t="s">
        <v>84</v>
      </c>
      <c r="R229" s="15">
        <f>+GETPIVOTDATA("Grand Total FTE - Old",'FTE Pivot for regular counts'!$A$2,"State","KY","Category2","Four-Year")</f>
        <v>100647.37916666668</v>
      </c>
      <c r="S229" s="15">
        <f>+GETPIVOTDATA("Grand Total FTE - Old",'FTE Pivot for regular counts'!$A$2,"State","KY","Category2","Two-Year")</f>
        <v>56044.13</v>
      </c>
      <c r="T229" s="39">
        <f>+GETPIVOTDATA("Grand Total FTE - Old",'FTE Pivot for regular counts'!$A$2,"State","KY","Category2","Technical")</f>
        <v>4584.5</v>
      </c>
      <c r="U229" s="89">
        <f t="shared" si="20"/>
        <v>161276.00916666668</v>
      </c>
      <c r="V229" s="755">
        <f t="shared" si="21"/>
        <v>-286.35416666668607</v>
      </c>
      <c r="W229" s="756">
        <f t="shared" si="22"/>
        <v>29.569999999999709</v>
      </c>
      <c r="X229" s="757">
        <f t="shared" si="23"/>
        <v>232.69999999999982</v>
      </c>
      <c r="Y229" s="757">
        <f t="shared" si="24"/>
        <v>-24.084166666696547</v>
      </c>
      <c r="Z229" s="221">
        <f t="shared" si="25"/>
        <v>-2.8451229335291371E-3</v>
      </c>
      <c r="AA229" s="222">
        <f t="shared" si="26"/>
        <v>5.2761993093656211E-4</v>
      </c>
      <c r="AB229" s="71">
        <f t="shared" si="18"/>
        <v>5.0757988875558907E-2</v>
      </c>
      <c r="AC229" s="71">
        <f t="shared" si="27"/>
        <v>-1.4933508580192707E-4</v>
      </c>
      <c r="AI229" s="96"/>
      <c r="AJ229" s="96"/>
      <c r="AK229" s="96"/>
      <c r="AL229" s="96"/>
    </row>
    <row r="230" spans="1:83" ht="15" customHeight="1">
      <c r="A230" s="1" t="s">
        <v>85</v>
      </c>
      <c r="B230" s="15">
        <f>+GETPIVOTDATA("Grand Total FTE - New",'FTE Pivot for regular counts'!$A$2,"State","LA","Category2","Four-Year")</f>
        <v>122845.24166666667</v>
      </c>
      <c r="D230" s="15">
        <f>+GETPIVOTDATA("Grand Total FTE - New",'FTE Pivot for regular counts'!$A$2,"State","LA","Category2","Two-Year")</f>
        <v>37569.033333333333</v>
      </c>
      <c r="F230" s="39">
        <f>+GETPIVOTDATA("Grand Total FTE - New",'FTE Pivot for regular counts'!$A$2,"State","LA","Category2","Technical")</f>
        <v>18658.816666666669</v>
      </c>
      <c r="G230" s="37"/>
      <c r="H230" s="122">
        <f t="shared" si="19"/>
        <v>179073.09166666667</v>
      </c>
      <c r="I230" s="25"/>
      <c r="Q230" s="1" t="s">
        <v>85</v>
      </c>
      <c r="R230" s="15">
        <f>+GETPIVOTDATA("Grand Total FTE - Old",'FTE Pivot for regular counts'!$A$2,"State","LA","Category2","Four-Year")</f>
        <v>123142.92777777776</v>
      </c>
      <c r="S230" s="15">
        <f>+GETPIVOTDATA("Grand Total FTE - Old",'FTE Pivot for regular counts'!$A$2,"State","LA","Category2","Two-Year")</f>
        <v>36326</v>
      </c>
      <c r="T230" s="39">
        <f>+GETPIVOTDATA("Grand Total FTE - Old",'FTE Pivot for regular counts'!$A$2,"State","LA","Category2","Technical")</f>
        <v>19830.866666666669</v>
      </c>
      <c r="U230" s="89">
        <f t="shared" si="20"/>
        <v>179299.79444444444</v>
      </c>
      <c r="V230" s="755">
        <f t="shared" si="21"/>
        <v>-297.68611111109203</v>
      </c>
      <c r="W230" s="756">
        <f t="shared" si="22"/>
        <v>1243.0333333333328</v>
      </c>
      <c r="X230" s="757">
        <f t="shared" si="23"/>
        <v>-1172.0499999999993</v>
      </c>
      <c r="Y230" s="757">
        <f t="shared" si="24"/>
        <v>-226.70277777776937</v>
      </c>
      <c r="Z230" s="221">
        <f t="shared" si="25"/>
        <v>-2.4174032279652533E-3</v>
      </c>
      <c r="AA230" s="222">
        <f t="shared" si="26"/>
        <v>3.4218833158986203E-2</v>
      </c>
      <c r="AB230" s="71">
        <f t="shared" si="18"/>
        <v>-5.9102308522404425E-2</v>
      </c>
      <c r="AC230" s="71">
        <f t="shared" si="27"/>
        <v>-1.2643783473383324E-3</v>
      </c>
      <c r="AI230" s="96"/>
      <c r="AJ230" s="96"/>
      <c r="AK230" s="96"/>
      <c r="AL230" s="96"/>
    </row>
    <row r="231" spans="1:83" ht="15" customHeight="1">
      <c r="A231" s="1" t="s">
        <v>86</v>
      </c>
      <c r="B231" s="15">
        <f>+GETPIVOTDATA("Grand Total FTE - New",'FTE Pivot for regular counts'!$A$2,"State","MD","Category2","Four-Year")</f>
        <v>103809.74166666667</v>
      </c>
      <c r="D231" s="15">
        <f>+GETPIVOTDATA("Grand Total FTE - New",'FTE Pivot for regular counts'!$A$2,"State","MD","Category2","Two-Year")</f>
        <v>99199.325000000012</v>
      </c>
      <c r="F231" s="39">
        <f>+GETPIVOTDATA("Grand Total FTE - New",'FTE Pivot for regular counts'!$A$2,"State","MD","Category2","Technical")</f>
        <v>0</v>
      </c>
      <c r="G231" s="37"/>
      <c r="H231" s="122">
        <f t="shared" si="19"/>
        <v>203009.06666666668</v>
      </c>
      <c r="I231" s="25"/>
      <c r="Q231" s="1" t="s">
        <v>86</v>
      </c>
      <c r="R231" s="15">
        <f>+GETPIVOTDATA("Grand Total FTE - Old",'FTE Pivot for regular counts'!$A$2,"State","MD","Category2","Four-Year")</f>
        <v>102766.24999999999</v>
      </c>
      <c r="S231" s="15">
        <f>+GETPIVOTDATA("Grand Total FTE - Old",'FTE Pivot for regular counts'!$A$2,"State","MD","Category2","Two-Year")</f>
        <v>98596.618333333332</v>
      </c>
      <c r="T231" s="39">
        <f>+GETPIVOTDATA("Grand Total FTE - Old",'FTE Pivot for regular counts'!$A$2,"State","MD","Category2","Technical")</f>
        <v>0</v>
      </c>
      <c r="U231" s="89">
        <f t="shared" si="20"/>
        <v>201362.86833333332</v>
      </c>
      <c r="V231" s="755">
        <f t="shared" si="21"/>
        <v>1043.4916666666832</v>
      </c>
      <c r="W231" s="756">
        <f t="shared" si="22"/>
        <v>602.70666666667967</v>
      </c>
      <c r="X231" s="757">
        <f t="shared" si="23"/>
        <v>0</v>
      </c>
      <c r="Y231" s="757">
        <f t="shared" si="24"/>
        <v>1646.1983333333628</v>
      </c>
      <c r="Z231" s="221">
        <f t="shared" si="25"/>
        <v>1.0154030789940115E-2</v>
      </c>
      <c r="AA231" s="222">
        <f t="shared" si="26"/>
        <v>6.1128533296046922E-3</v>
      </c>
      <c r="AB231" s="71">
        <f t="shared" si="18"/>
        <v>0</v>
      </c>
      <c r="AC231" s="71">
        <f t="shared" si="27"/>
        <v>8.1752824985005124E-3</v>
      </c>
      <c r="AI231" s="96"/>
      <c r="AJ231" s="96"/>
      <c r="AK231" s="96"/>
      <c r="AL231" s="96"/>
    </row>
    <row r="232" spans="1:83" ht="15" customHeight="1">
      <c r="A232" s="1" t="s">
        <v>87</v>
      </c>
      <c r="B232" s="15">
        <f>+GETPIVOTDATA("Grand Total FTE - New",'FTE Pivot for regular counts'!$A$2,"State","MS","Category2","Four-Year")</f>
        <v>67735.275000000009</v>
      </c>
      <c r="D232" s="15">
        <f>+GETPIVOTDATA("Grand Total FTE - New",'FTE Pivot for regular counts'!$A$2,"State","Ms","Category2","Two-Year")</f>
        <v>72117.55</v>
      </c>
      <c r="F232" s="39">
        <f>+GETPIVOTDATA("Grand Total FTE - New",'FTE Pivot for regular counts'!$A$2,"State","MS","Category2","Technical")</f>
        <v>0</v>
      </c>
      <c r="G232" s="37"/>
      <c r="H232" s="122">
        <f t="shared" si="19"/>
        <v>139852.82500000001</v>
      </c>
      <c r="I232" s="25"/>
      <c r="Q232" s="1" t="s">
        <v>87</v>
      </c>
      <c r="R232" s="15">
        <f>+GETPIVOTDATA("Grand Total FTE - Old",'FTE Pivot for regular counts'!$A$2,"State","MS","Category2","Four-Year")</f>
        <v>64934.89166666667</v>
      </c>
      <c r="S232" s="15">
        <f>+GETPIVOTDATA("Grand Total FTE - Old",'FTE Pivot for regular counts'!$A$2,"State","MS","Category2","Two-Year")</f>
        <v>73910.8</v>
      </c>
      <c r="T232" s="39">
        <f>+GETPIVOTDATA("Grand Total FTE - Old",'FTE Pivot for regular counts'!$A$2,"State","MS","Category2","Technical")</f>
        <v>0</v>
      </c>
      <c r="U232" s="89">
        <f t="shared" si="20"/>
        <v>138845.69166666668</v>
      </c>
      <c r="V232" s="755">
        <f t="shared" si="21"/>
        <v>2800.3833333333387</v>
      </c>
      <c r="W232" s="756">
        <f t="shared" si="22"/>
        <v>-1793.25</v>
      </c>
      <c r="X232" s="757">
        <f t="shared" si="23"/>
        <v>0</v>
      </c>
      <c r="Y232" s="757">
        <f t="shared" si="24"/>
        <v>1007.1333333333314</v>
      </c>
      <c r="Z232" s="221">
        <f t="shared" si="25"/>
        <v>4.3126018407925862E-2</v>
      </c>
      <c r="AA232" s="222">
        <f t="shared" si="26"/>
        <v>-2.426235408086504E-2</v>
      </c>
      <c r="AB232" s="71">
        <f t="shared" si="18"/>
        <v>0</v>
      </c>
      <c r="AC232" s="71">
        <f t="shared" si="27"/>
        <v>7.2536160196544179E-3</v>
      </c>
      <c r="AI232" s="96"/>
      <c r="AJ232" s="96"/>
      <c r="AK232" s="96"/>
      <c r="AL232" s="96"/>
    </row>
    <row r="233" spans="1:83" ht="12" customHeight="1">
      <c r="A233" s="1" t="s">
        <v>88</v>
      </c>
      <c r="B233" s="15">
        <f>+GETPIVOTDATA("Grand Total FTE - New",'FTE Pivot for regular counts'!$A$2,"State","NC","Category2","Four-Year")</f>
        <v>198718.67500000002</v>
      </c>
      <c r="D233" s="15">
        <f>+GETPIVOTDATA("Grand Total FTE - New",'FTE Pivot for regular counts'!$A$2,"State","NC","Category2","Two-Year")</f>
        <v>181052.73333333334</v>
      </c>
      <c r="F233" s="39">
        <f>+GETPIVOTDATA("Grand Total FTE - New",'FTE Pivot for regular counts'!$A$2,"State","NC","Category2","Technical")</f>
        <v>0</v>
      </c>
      <c r="G233" s="37"/>
      <c r="H233" s="122">
        <f t="shared" si="19"/>
        <v>379771.40833333333</v>
      </c>
      <c r="I233" s="25"/>
      <c r="Q233" s="1" t="s">
        <v>88</v>
      </c>
      <c r="R233" s="15">
        <f>+GETPIVOTDATA("Grand Total FTE - Old",'FTE Pivot for regular counts'!$A$2,"State","NC","Category2","Four-Year")</f>
        <v>197882.48333333331</v>
      </c>
      <c r="S233" s="15">
        <f>+GETPIVOTDATA("Grand Total FTE - Old",'FTE Pivot for regular counts'!$A$2,"State","NC","Category2","Two-Year")</f>
        <v>181324.93333333332</v>
      </c>
      <c r="T233" s="39">
        <f>+GETPIVOTDATA("Grand Total FTE - Old",'FTE Pivot for regular counts'!$A$2,"State","NC","Category2","Technical")</f>
        <v>0</v>
      </c>
      <c r="U233" s="89">
        <f t="shared" si="20"/>
        <v>379207.41666666663</v>
      </c>
      <c r="V233" s="755">
        <f t="shared" si="21"/>
        <v>836.19166666670935</v>
      </c>
      <c r="W233" s="756">
        <f t="shared" si="22"/>
        <v>-272.19999999998254</v>
      </c>
      <c r="X233" s="757">
        <f t="shared" si="23"/>
        <v>0</v>
      </c>
      <c r="Y233" s="757">
        <f t="shared" si="24"/>
        <v>563.99166666669771</v>
      </c>
      <c r="Z233" s="221">
        <f t="shared" si="25"/>
        <v>4.2256982658649142E-3</v>
      </c>
      <c r="AA233" s="222">
        <f t="shared" si="26"/>
        <v>-1.5011724807839401E-3</v>
      </c>
      <c r="AB233" s="71">
        <f t="shared" si="18"/>
        <v>0</v>
      </c>
      <c r="AC233" s="71">
        <f t="shared" si="27"/>
        <v>1.4872907065593111E-3</v>
      </c>
      <c r="AI233" s="96"/>
      <c r="AJ233" s="96"/>
      <c r="AK233" s="96"/>
      <c r="AL233" s="96"/>
    </row>
    <row r="234" spans="1:83" ht="15" customHeight="1">
      <c r="A234" s="1" t="s">
        <v>89</v>
      </c>
      <c r="B234" s="15">
        <f>+GETPIVOTDATA("Grand Total FTE - New",'FTE Pivot for regular counts'!$A$2,"State","OK","Category2","Four-Year")</f>
        <v>95534.825000000012</v>
      </c>
      <c r="D234" s="15">
        <f>+GETPIVOTDATA("Grand Total FTE - New",'FTE Pivot for regular counts'!$A$2,"State","OK","Category2","Two-Year")</f>
        <v>56304.51666666667</v>
      </c>
      <c r="F234" s="39">
        <f>+GETPIVOTDATA("Grand Total FTE - New",'FTE Pivot for regular counts'!$A$2,"State","OK","Category2","Technical")</f>
        <v>20558.918311111109</v>
      </c>
      <c r="G234" s="37"/>
      <c r="H234" s="122">
        <f t="shared" si="19"/>
        <v>172398.25997777778</v>
      </c>
      <c r="I234" s="25"/>
      <c r="Q234" s="1" t="s">
        <v>89</v>
      </c>
      <c r="R234" s="15">
        <f>+GETPIVOTDATA("Grand Total FTE - Old",'FTE Pivot for regular counts'!$A$2,"State","OK","Category2","Four-Year")</f>
        <v>91117.425000000003</v>
      </c>
      <c r="S234" s="15">
        <f>+GETPIVOTDATA("Grand Total FTE - Old",'FTE Pivot for regular counts'!$A$2,"State","OK","Category2","Two-Year")</f>
        <v>56022.866666666669</v>
      </c>
      <c r="T234" s="67">
        <f>+GETPIVOTDATA("Grand Total FTE - Old",'FTE Pivot for regular counts'!$A$2,"State","OK","Category2","Technical")</f>
        <v>21645.267211111117</v>
      </c>
      <c r="U234" s="89">
        <f t="shared" si="20"/>
        <v>168785.5588777778</v>
      </c>
      <c r="V234" s="755">
        <f t="shared" si="21"/>
        <v>4417.4000000000087</v>
      </c>
      <c r="W234" s="756">
        <f t="shared" si="22"/>
        <v>281.65000000000146</v>
      </c>
      <c r="X234" s="757">
        <f t="shared" si="23"/>
        <v>-1086.3489000000081</v>
      </c>
      <c r="Y234" s="757">
        <f t="shared" si="24"/>
        <v>3612.7010999999766</v>
      </c>
      <c r="Z234" s="221">
        <f t="shared" si="25"/>
        <v>4.8480298910993244E-2</v>
      </c>
      <c r="AA234" s="222">
        <f t="shared" si="26"/>
        <v>5.0274114260486754E-3</v>
      </c>
      <c r="AB234" s="71">
        <f t="shared" si="18"/>
        <v>-5.0188749780938492E-2</v>
      </c>
      <c r="AC234" s="71">
        <f t="shared" si="27"/>
        <v>2.1404088857009569E-2</v>
      </c>
      <c r="AI234" s="96"/>
      <c r="AJ234" s="96"/>
      <c r="AK234" s="96"/>
      <c r="AL234" s="96"/>
    </row>
    <row r="235" spans="1:83" ht="15" customHeight="1">
      <c r="A235" s="1" t="s">
        <v>90</v>
      </c>
      <c r="B235" s="15">
        <f>+GETPIVOTDATA("Grand Total FTE - New",'FTE Pivot for regular counts'!$A$2,"State","SC","Category2","Four-Year")</f>
        <v>94950.174999999988</v>
      </c>
      <c r="D235" s="15">
        <f>+GETPIVOTDATA("Grand Total FTE - New",'FTE Pivot for regular counts'!$A$2,"State","SC","Category2","Two-Year")</f>
        <v>83634.409666666674</v>
      </c>
      <c r="F235" s="39">
        <f>+GETPIVOTDATA("Grand Total FTE - New",'FTE Pivot for regular counts'!$A$2,"State","SC","Category2","Technical")</f>
        <v>0</v>
      </c>
      <c r="G235" s="37"/>
      <c r="H235" s="122">
        <f t="shared" si="19"/>
        <v>178584.58466666666</v>
      </c>
      <c r="I235" s="25"/>
      <c r="Q235" s="1" t="s">
        <v>90</v>
      </c>
      <c r="R235" s="15">
        <f>+GETPIVOTDATA("Grand Total FTE - Old",'FTE Pivot for regular counts'!$A$2,"State","SC","Category2","Four-Year")</f>
        <v>92558.333333333328</v>
      </c>
      <c r="S235" s="15">
        <f>+GETPIVOTDATA("Grand Total FTE - Old",'FTE Pivot for regular counts'!$A$2,"State","SC","Category2","Two-Year")</f>
        <v>85133.633333333346</v>
      </c>
      <c r="T235" s="39">
        <f>+GETPIVOTDATA("Grand Total FTE - Old",'FTE Pivot for regular counts'!$A$2,"State","SC","Category2","Technical")</f>
        <v>0</v>
      </c>
      <c r="U235" s="89">
        <f t="shared" si="20"/>
        <v>177691.96666666667</v>
      </c>
      <c r="V235" s="755">
        <f t="shared" si="21"/>
        <v>2391.8416666666599</v>
      </c>
      <c r="W235" s="756">
        <f t="shared" si="22"/>
        <v>-1499.2236666666722</v>
      </c>
      <c r="X235" s="757">
        <f t="shared" si="23"/>
        <v>0</v>
      </c>
      <c r="Y235" s="757">
        <f t="shared" si="24"/>
        <v>892.61799999998766</v>
      </c>
      <c r="Z235" s="221">
        <f t="shared" si="25"/>
        <v>2.5841451336994618E-2</v>
      </c>
      <c r="AA235" s="222">
        <f t="shared" si="26"/>
        <v>-1.7610239431419452E-2</v>
      </c>
      <c r="AB235" s="71">
        <f t="shared" si="18"/>
        <v>0</v>
      </c>
      <c r="AC235" s="71">
        <f t="shared" si="27"/>
        <v>5.0234009828618456E-3</v>
      </c>
      <c r="AI235" s="96"/>
      <c r="AJ235" s="96"/>
      <c r="AK235" s="96"/>
      <c r="AL235" s="96"/>
    </row>
    <row r="236" spans="1:83" ht="15" customHeight="1">
      <c r="A236" s="1" t="s">
        <v>91</v>
      </c>
      <c r="B236" s="15">
        <f>+GETPIVOTDATA("Grand Total FTE - New",'FTE Pivot for regular counts'!$A$2,"State","TN","Category2","Four-Year")</f>
        <v>119587.32500000001</v>
      </c>
      <c r="D236" s="15">
        <f>+GETPIVOTDATA("Grand Total FTE - New",'FTE Pivot for regular counts'!$A$2,"State","TN","Category2","Two-Year")</f>
        <v>66810.399999999994</v>
      </c>
      <c r="F236" s="39">
        <f>+GETPIVOTDATA("Grand Total FTE - New",'FTE Pivot for regular counts'!$A$2,"State","TN","Category2","Technical")</f>
        <v>15336.976666666666</v>
      </c>
      <c r="G236" s="37"/>
      <c r="H236" s="122">
        <f t="shared" si="19"/>
        <v>201734.70166666666</v>
      </c>
      <c r="I236" s="25"/>
      <c r="Q236" s="1" t="s">
        <v>91</v>
      </c>
      <c r="R236" s="15">
        <f>+GETPIVOTDATA("Grand Total FTE - Old",'FTE Pivot for regular counts'!$A$2,"State","TN","Category2","Four-Year")</f>
        <v>121178.41666666666</v>
      </c>
      <c r="S236" s="15">
        <f>+GETPIVOTDATA("Grand Total FTE - Old",'FTE Pivot for regular counts'!$A$2,"State","TN","Category2","Two-Year")</f>
        <v>66922.633333333331</v>
      </c>
      <c r="T236" s="39">
        <f>+GETPIVOTDATA("Grand Total FTE - Old",'FTE Pivot for regular counts'!$A$2,"State","TN","Category2","Technical")</f>
        <v>13277.441111111108</v>
      </c>
      <c r="U236" s="89">
        <f t="shared" si="20"/>
        <v>201378.4911111111</v>
      </c>
      <c r="V236" s="755">
        <f t="shared" si="21"/>
        <v>-1591.0916666666453</v>
      </c>
      <c r="W236" s="756">
        <f t="shared" si="22"/>
        <v>-112.23333333333721</v>
      </c>
      <c r="X236" s="757">
        <f t="shared" si="23"/>
        <v>2059.5355555555579</v>
      </c>
      <c r="Y236" s="757">
        <f t="shared" si="24"/>
        <v>356.21055555556086</v>
      </c>
      <c r="Z236" s="221">
        <f t="shared" si="25"/>
        <v>-1.3130157254351363E-2</v>
      </c>
      <c r="AA236" s="222">
        <f t="shared" si="26"/>
        <v>-1.6770609245801329E-3</v>
      </c>
      <c r="AB236" s="71">
        <f t="shared" si="18"/>
        <v>0.15511539748664779</v>
      </c>
      <c r="AC236" s="71">
        <f t="shared" si="27"/>
        <v>1.7688609820748968E-3</v>
      </c>
      <c r="AI236" s="96"/>
      <c r="AJ236" s="96"/>
      <c r="AK236" s="96"/>
      <c r="AL236" s="96"/>
    </row>
    <row r="237" spans="1:83" ht="15" customHeight="1">
      <c r="A237" s="1" t="s">
        <v>92</v>
      </c>
      <c r="B237" s="15">
        <f>+GETPIVOTDATA("Grand Total FTE - New",'FTE Pivot for regular counts'!$A$2,"State","TX","Category2","Four-Year")</f>
        <v>462983.78333333321</v>
      </c>
      <c r="D237" s="15">
        <f>+GETPIVOTDATA("Grand Total FTE - New",'FTE Pivot for regular counts'!$A$2,"State","TX","Category2","Two-Year")</f>
        <v>517855.6755555555</v>
      </c>
      <c r="F237" s="39">
        <f>+GETPIVOTDATA("Grand Total FTE - New",'FTE Pivot for regular counts'!$A$2,"State","TX","Category2","Technical")</f>
        <v>0</v>
      </c>
      <c r="G237" s="37"/>
      <c r="H237" s="122">
        <f t="shared" si="19"/>
        <v>980839.45888888871</v>
      </c>
      <c r="I237" s="25"/>
      <c r="Q237" s="1" t="s">
        <v>92</v>
      </c>
      <c r="R237" s="15">
        <f>+GETPIVOTDATA("Grand Total FTE - Old",'FTE Pivot for regular counts'!$A$2,"State","TX","Category2","Four-Year")</f>
        <v>450491.65000000008</v>
      </c>
      <c r="S237" s="15">
        <f>+GETPIVOTDATA("Grand Total FTE - Old",'FTE Pivot for regular counts'!$A$2,"State","TX","Category2","Two-Year")</f>
        <v>514040.04999999993</v>
      </c>
      <c r="T237" s="39">
        <f>+GETPIVOTDATA("Grand Total FTE - Old",'FTE Pivot for regular counts'!$A$2,"State","TX","Category2","Technical")</f>
        <v>0</v>
      </c>
      <c r="U237" s="89">
        <f t="shared" si="20"/>
        <v>964531.7</v>
      </c>
      <c r="V237" s="755">
        <f t="shared" si="21"/>
        <v>12492.133333333128</v>
      </c>
      <c r="W237" s="756">
        <f t="shared" si="22"/>
        <v>3815.625555555569</v>
      </c>
      <c r="X237" s="757">
        <f t="shared" si="23"/>
        <v>0</v>
      </c>
      <c r="Y237" s="757">
        <f t="shared" si="24"/>
        <v>16307.758888888755</v>
      </c>
      <c r="Z237" s="221">
        <f t="shared" si="25"/>
        <v>2.7729999731034138E-2</v>
      </c>
      <c r="AA237" s="222">
        <f t="shared" si="26"/>
        <v>7.4228176492387504E-3</v>
      </c>
      <c r="AB237" s="71">
        <f t="shared" si="18"/>
        <v>0</v>
      </c>
      <c r="AC237" s="71">
        <f t="shared" si="27"/>
        <v>1.6907436934305794E-2</v>
      </c>
      <c r="AI237" s="96"/>
      <c r="AJ237" s="96"/>
      <c r="AK237" s="96"/>
      <c r="AL237" s="96"/>
    </row>
    <row r="238" spans="1:83" ht="15" customHeight="1">
      <c r="A238" s="1" t="s">
        <v>93</v>
      </c>
      <c r="B238" s="15">
        <f>+GETPIVOTDATA("Grand Total FTE - New",'FTE Pivot for regular counts'!$A$2,"State","VA","Category2","Four-Year")</f>
        <v>192551.3833333333</v>
      </c>
      <c r="D238" s="15">
        <f>+GETPIVOTDATA("Grand Total FTE - New",'FTE Pivot for regular counts'!$A$2,"State","VA","Category2","Two-Year")</f>
        <v>130303.90000000001</v>
      </c>
      <c r="F238" s="39">
        <f>+GETPIVOTDATA("Grand Total FTE - New",'FTE Pivot for regular counts'!$A$2,"State","VA","Category2","Technical")</f>
        <v>0</v>
      </c>
      <c r="G238" s="37"/>
      <c r="H238" s="122">
        <f t="shared" si="19"/>
        <v>322855.28333333333</v>
      </c>
      <c r="I238" s="25"/>
      <c r="Q238" s="1" t="s">
        <v>93</v>
      </c>
      <c r="R238" s="15">
        <f>+GETPIVOTDATA("Grand Total FTE - Old",'FTE Pivot for regular counts'!$A$2,"State","VA","Category2","Four-Year")</f>
        <v>189489.67666666664</v>
      </c>
      <c r="S238" s="15">
        <f>+GETPIVOTDATA("Grand Total FTE - Old",'FTE Pivot for regular counts'!$A$2,"State","VA","Category2","Two-Year")</f>
        <v>126120.20000000001</v>
      </c>
      <c r="T238" s="39">
        <f>+GETPIVOTDATA("Grand Total FTE - Old",'FTE Pivot for regular counts'!$A$2,"State","VA","Category2","Technical")</f>
        <v>0</v>
      </c>
      <c r="U238" s="89">
        <f t="shared" si="20"/>
        <v>315609.87666666665</v>
      </c>
      <c r="V238" s="755">
        <f t="shared" si="21"/>
        <v>3061.7066666666651</v>
      </c>
      <c r="W238" s="756">
        <f t="shared" si="22"/>
        <v>4183.6999999999971</v>
      </c>
      <c r="X238" s="757">
        <f t="shared" si="23"/>
        <v>0</v>
      </c>
      <c r="Y238" s="757">
        <f t="shared" si="24"/>
        <v>7245.4066666666768</v>
      </c>
      <c r="Z238" s="221">
        <f t="shared" si="25"/>
        <v>1.6157643627481337E-2</v>
      </c>
      <c r="AA238" s="222">
        <f t="shared" si="26"/>
        <v>3.3172322911000751E-2</v>
      </c>
      <c r="AB238" s="71">
        <f t="shared" si="18"/>
        <v>0</v>
      </c>
      <c r="AC238" s="71">
        <f t="shared" si="27"/>
        <v>2.2956843883307741E-2</v>
      </c>
    </row>
    <row r="239" spans="1:83" ht="15" customHeight="1">
      <c r="A239" s="3" t="s">
        <v>94</v>
      </c>
      <c r="B239" s="6">
        <f>+GETPIVOTDATA("Grand Total FTE - New",'FTE Pivot for regular counts'!$A$2,"State","WV","Category2","Four-Year")</f>
        <v>58566.64</v>
      </c>
      <c r="C239" s="3"/>
      <c r="D239" s="6">
        <f>+GETPIVOTDATA("Grand Total FTE - New",'FTE Pivot for regular counts'!$A$2,"State","WV","Category2","Two-Year")</f>
        <v>19523.636666666665</v>
      </c>
      <c r="E239" s="3"/>
      <c r="F239" s="40">
        <f>+GETPIVOTDATA("Grand Total FTE - New",'FTE Pivot for regular counts'!$A$2,"State","WV","Category2","Technical")</f>
        <v>0</v>
      </c>
      <c r="G239" s="38"/>
      <c r="H239" s="122">
        <f t="shared" si="19"/>
        <v>78090.276666666672</v>
      </c>
      <c r="I239" s="25"/>
      <c r="Q239" s="3" t="s">
        <v>94</v>
      </c>
      <c r="R239" s="6">
        <f>+GETPIVOTDATA("Grand Total FTE - Old",'FTE Pivot for regular counts'!$A$2,"State","WV","Category2","Four-Year")</f>
        <v>58089.93</v>
      </c>
      <c r="S239" s="6">
        <f>+GETPIVOTDATA("Grand Total FTE - Old",'FTE Pivot for regular counts'!$A$2,"State","WV","Category2","Two-Year")</f>
        <v>19504.116666666669</v>
      </c>
      <c r="T239" s="40">
        <f>+GETPIVOTDATA("Grand Total FTE - Old",'FTE Pivot for regular counts'!$A$2,"State","WV","Category2","Technical")</f>
        <v>0</v>
      </c>
      <c r="U239" s="90">
        <f t="shared" si="20"/>
        <v>77594.046666666662</v>
      </c>
      <c r="V239" s="758">
        <f t="shared" si="21"/>
        <v>476.70999999999913</v>
      </c>
      <c r="W239" s="759">
        <f t="shared" si="22"/>
        <v>19.519999999996799</v>
      </c>
      <c r="X239" s="759">
        <f t="shared" si="23"/>
        <v>0</v>
      </c>
      <c r="Y239" s="760">
        <f t="shared" si="24"/>
        <v>496.23000000001048</v>
      </c>
      <c r="Z239" s="86">
        <f t="shared" si="25"/>
        <v>8.2064137450329026E-3</v>
      </c>
      <c r="AA239" s="87">
        <f t="shared" si="26"/>
        <v>1.0008143579943447E-3</v>
      </c>
      <c r="AB239" s="87">
        <f t="shared" si="18"/>
        <v>0</v>
      </c>
      <c r="AC239" s="87">
        <f t="shared" si="27"/>
        <v>6.3952071237081652E-3</v>
      </c>
    </row>
    <row r="240" spans="1:83" ht="15" customHeight="1">
      <c r="A240" s="717"/>
      <c r="B240" s="718"/>
      <c r="C240" s="718"/>
      <c r="D240" s="718"/>
      <c r="E240" s="718"/>
      <c r="F240" s="718"/>
      <c r="G240" s="718"/>
      <c r="H240" s="719"/>
      <c r="I240" s="15"/>
      <c r="J240" s="103"/>
      <c r="K240" s="103"/>
      <c r="P240" s="25"/>
      <c r="Q240" s="25"/>
      <c r="R240" s="25"/>
      <c r="S240" s="25"/>
      <c r="T240" s="25"/>
      <c r="U240" s="25"/>
      <c r="V240" s="26"/>
      <c r="W240" s="26"/>
      <c r="X240" s="26"/>
      <c r="Y240" s="26"/>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c r="CC240" s="25"/>
      <c r="CD240" s="25"/>
      <c r="CE240" s="25"/>
    </row>
    <row r="241" spans="2:83" s="25" customFormat="1" ht="20.25" customHeight="1">
      <c r="B241" s="15"/>
      <c r="C241" s="15"/>
      <c r="D241" s="15"/>
      <c r="E241" s="15"/>
      <c r="F241" s="15"/>
      <c r="G241" s="15"/>
      <c r="H241" s="103"/>
      <c r="J241" s="4"/>
      <c r="K241" s="4"/>
      <c r="L241" s="103"/>
      <c r="M241" s="103"/>
      <c r="P241" s="1"/>
      <c r="Q241" s="102"/>
      <c r="R241" s="1"/>
      <c r="S241" s="95"/>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row>
    <row r="242" spans="2:83" ht="71.25" customHeight="1">
      <c r="H242" s="169"/>
      <c r="Q242" s="42"/>
    </row>
    <row r="257" spans="14:20">
      <c r="P257" s="25"/>
      <c r="Q257" s="25"/>
      <c r="R257" s="25"/>
      <c r="S257" s="25"/>
      <c r="T257" s="25"/>
    </row>
    <row r="258" spans="14:20">
      <c r="N258" s="25"/>
      <c r="O258" s="25"/>
      <c r="P258" s="25"/>
      <c r="Q258" s="25"/>
      <c r="R258" s="25"/>
      <c r="S258" s="25"/>
      <c r="T258" s="25"/>
    </row>
    <row r="259" spans="14:20">
      <c r="N259" s="25"/>
      <c r="O259" s="25"/>
      <c r="P259" s="25"/>
      <c r="Q259" s="25"/>
      <c r="R259" s="25"/>
      <c r="S259" s="25"/>
      <c r="T259" s="25"/>
    </row>
    <row r="260" spans="14:20">
      <c r="N260" s="25"/>
      <c r="O260" s="25"/>
      <c r="P260" s="25"/>
      <c r="Q260" s="25"/>
      <c r="R260" s="25"/>
      <c r="S260" s="25"/>
      <c r="T260" s="25"/>
    </row>
    <row r="261" spans="14:20">
      <c r="N261" s="25"/>
      <c r="O261" s="25"/>
      <c r="P261" s="25"/>
      <c r="Q261" s="25"/>
      <c r="R261" s="25"/>
      <c r="S261" s="25"/>
      <c r="T261" s="25"/>
    </row>
    <row r="262" spans="14:20">
      <c r="N262" s="25"/>
      <c r="O262" s="25"/>
      <c r="P262" s="25"/>
      <c r="Q262" s="25"/>
      <c r="R262" s="25"/>
      <c r="S262" s="25"/>
      <c r="T262" s="25"/>
    </row>
    <row r="263" spans="14:20">
      <c r="N263" s="25"/>
      <c r="O263" s="25"/>
      <c r="P263" s="25"/>
      <c r="Q263" s="25"/>
      <c r="R263" s="25"/>
      <c r="S263" s="25"/>
      <c r="T263" s="25"/>
    </row>
    <row r="264" spans="14:20">
      <c r="N264" s="25"/>
      <c r="O264" s="25"/>
      <c r="P264" s="25"/>
      <c r="Q264" s="25"/>
      <c r="R264" s="25"/>
      <c r="S264" s="25"/>
      <c r="T264" s="25"/>
    </row>
    <row r="265" spans="14:20">
      <c r="N265" s="25"/>
      <c r="O265" s="25"/>
      <c r="P265" s="25"/>
      <c r="Q265" s="25"/>
      <c r="R265" s="25"/>
      <c r="S265" s="25"/>
      <c r="T265" s="25"/>
    </row>
    <row r="266" spans="14:20">
      <c r="N266" s="25"/>
      <c r="O266" s="25"/>
    </row>
  </sheetData>
  <mergeCells count="13">
    <mergeCell ref="A122:I122"/>
    <mergeCell ref="A30:O30"/>
    <mergeCell ref="A94:J94"/>
    <mergeCell ref="A96:J96"/>
    <mergeCell ref="A97:J97"/>
    <mergeCell ref="A60:H60"/>
    <mergeCell ref="A91:H91"/>
    <mergeCell ref="A212:G212"/>
    <mergeCell ref="A124:J124"/>
    <mergeCell ref="A126:J126"/>
    <mergeCell ref="A127:J127"/>
    <mergeCell ref="A152:I152"/>
    <mergeCell ref="A182:K182"/>
  </mergeCells>
  <phoneticPr fontId="0" type="noConversion"/>
  <pageMargins left="0.34708333333333302" right="1.02083333333333E-2" top="1" bottom="0.85" header="0.75" footer="0.5"/>
  <pageSetup scale="98" firstPageNumber="87" fitToHeight="7" orientation="landscape" useFirstPageNumber="1" r:id="rId1"/>
  <headerFooter alignWithMargins="0">
    <oddHeader>&amp;RSREB-State Data Exchange</oddHeader>
    <oddFooter>&amp;C&amp;10&amp;P</oddFooter>
  </headerFooter>
  <rowBreaks count="6" manualBreakCount="6">
    <brk id="31" max="14" man="1"/>
    <brk id="62" max="14" man="1"/>
    <brk id="93" max="14" man="1"/>
    <brk id="123" max="14" man="1"/>
    <brk id="153" max="14" man="1"/>
    <brk id="183"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S267"/>
  <sheetViews>
    <sheetView showZeros="0" view="pageBreakPreview" zoomScale="90" zoomScaleNormal="100" zoomScaleSheetLayoutView="90" workbookViewId="0">
      <selection activeCell="D16" sqref="D16"/>
    </sheetView>
  </sheetViews>
  <sheetFormatPr defaultRowHeight="12.75"/>
  <cols>
    <col min="1" max="1" width="15" style="1" customWidth="1"/>
    <col min="2" max="2" width="11.6640625" style="1" customWidth="1"/>
    <col min="3" max="3" width="11.83203125" style="1" customWidth="1"/>
    <col min="4" max="4" width="11.6640625" style="1" customWidth="1"/>
    <col min="5" max="5" width="10" style="1" customWidth="1"/>
    <col min="6" max="6" width="11.6640625" style="1" customWidth="1"/>
    <col min="7" max="7" width="10" style="1" customWidth="1"/>
    <col min="8" max="8" width="11.6640625" style="4" customWidth="1"/>
    <col min="9" max="9" width="10" style="1" customWidth="1"/>
    <col min="10" max="10" width="11.6640625" style="4" customWidth="1"/>
    <col min="11" max="11" width="10" style="4" customWidth="1"/>
    <col min="12" max="12" width="10.5" style="4" customWidth="1"/>
    <col min="13" max="13" width="10" style="73" customWidth="1"/>
    <col min="14" max="14" width="11.6640625" style="1" customWidth="1"/>
    <col min="15" max="15" width="10" style="1" customWidth="1"/>
    <col min="16" max="16384" width="9.33203125" style="1"/>
  </cols>
  <sheetData>
    <row r="1" spans="1:17" ht="18">
      <c r="A1" s="41" t="s">
        <v>222</v>
      </c>
      <c r="B1" s="20"/>
      <c r="C1" s="20"/>
      <c r="D1" s="20"/>
      <c r="E1" s="20"/>
      <c r="F1" s="20"/>
      <c r="G1" s="20"/>
      <c r="H1" s="104"/>
      <c r="I1" s="20"/>
      <c r="J1" s="104"/>
      <c r="K1" s="104"/>
      <c r="L1" s="104"/>
      <c r="M1" s="227"/>
      <c r="N1" s="17"/>
      <c r="O1" s="22"/>
    </row>
    <row r="2" spans="1:17" ht="15.75">
      <c r="A2" s="21"/>
      <c r="B2" s="21"/>
      <c r="C2" s="21"/>
      <c r="D2" s="21"/>
      <c r="E2" s="21"/>
      <c r="F2" s="21"/>
      <c r="G2" s="21"/>
      <c r="H2" s="105"/>
      <c r="I2" s="21"/>
      <c r="J2" s="105"/>
      <c r="K2" s="105"/>
      <c r="L2" s="105"/>
      <c r="M2" s="198"/>
      <c r="N2" s="228"/>
      <c r="O2" s="22"/>
    </row>
    <row r="3" spans="1:17" ht="15.75">
      <c r="A3" s="110" t="s">
        <v>43</v>
      </c>
      <c r="B3" s="22"/>
      <c r="C3" s="22"/>
      <c r="D3" s="22"/>
      <c r="E3" s="22"/>
      <c r="F3" s="22"/>
      <c r="G3" s="22"/>
      <c r="H3" s="106"/>
      <c r="I3" s="22"/>
      <c r="J3" s="106"/>
      <c r="K3" s="106"/>
      <c r="L3" s="106"/>
      <c r="M3" s="170"/>
      <c r="N3" s="22"/>
      <c r="O3" s="228"/>
    </row>
    <row r="4" spans="1:17" ht="15.75">
      <c r="A4" s="43" t="s">
        <v>1003</v>
      </c>
      <c r="B4" s="22"/>
      <c r="C4" s="22"/>
      <c r="D4" s="22"/>
      <c r="E4" s="22"/>
      <c r="F4" s="22"/>
      <c r="G4" s="22"/>
      <c r="H4" s="106"/>
      <c r="I4" s="22"/>
      <c r="J4" s="106"/>
      <c r="K4" s="106"/>
      <c r="L4" s="106"/>
      <c r="M4" s="170"/>
      <c r="N4" s="229"/>
      <c r="O4" s="22"/>
    </row>
    <row r="5" spans="1:17" ht="15.75" customHeight="1">
      <c r="B5" s="2"/>
      <c r="C5" s="2"/>
      <c r="D5" s="2"/>
      <c r="E5" s="2"/>
      <c r="F5" s="2"/>
      <c r="G5" s="2"/>
      <c r="H5" s="107"/>
      <c r="I5" s="2"/>
      <c r="J5" s="107"/>
      <c r="K5" s="107"/>
      <c r="L5" s="107"/>
      <c r="M5" s="191"/>
    </row>
    <row r="6" spans="1:17" ht="15" customHeight="1">
      <c r="A6" s="44"/>
      <c r="B6" s="823" t="s">
        <v>77</v>
      </c>
      <c r="C6" s="824"/>
      <c r="D6" s="824"/>
      <c r="E6" s="824"/>
      <c r="F6" s="824"/>
      <c r="G6" s="824"/>
      <c r="H6" s="108"/>
      <c r="I6" s="165"/>
      <c r="J6" s="165"/>
      <c r="K6" s="165"/>
      <c r="L6" s="165"/>
      <c r="M6" s="165"/>
      <c r="N6" s="165"/>
      <c r="O6" s="165"/>
    </row>
    <row r="7" spans="1:17" ht="17.25" customHeight="1">
      <c r="A7" s="45"/>
      <c r="B7" s="189">
        <v>1</v>
      </c>
      <c r="C7" s="22"/>
      <c r="D7" s="190">
        <v>2</v>
      </c>
      <c r="E7" s="22"/>
      <c r="F7" s="190">
        <v>3</v>
      </c>
      <c r="G7" s="22"/>
      <c r="H7" s="190">
        <v>4</v>
      </c>
      <c r="I7" s="65"/>
      <c r="J7" s="190">
        <v>5</v>
      </c>
      <c r="K7" s="65"/>
      <c r="L7" s="190">
        <v>6</v>
      </c>
      <c r="M7" s="192"/>
      <c r="N7" s="190" t="s">
        <v>41</v>
      </c>
      <c r="O7" s="65"/>
    </row>
    <row r="8" spans="1:17" ht="77.25" customHeight="1">
      <c r="A8" s="188"/>
      <c r="B8" s="194" t="s">
        <v>160</v>
      </c>
      <c r="C8" s="166" t="s">
        <v>24</v>
      </c>
      <c r="D8" s="195" t="s">
        <v>160</v>
      </c>
      <c r="E8" s="166" t="s">
        <v>24</v>
      </c>
      <c r="F8" s="195" t="s">
        <v>160</v>
      </c>
      <c r="G8" s="166" t="s">
        <v>24</v>
      </c>
      <c r="H8" s="195" t="s">
        <v>160</v>
      </c>
      <c r="I8" s="166" t="s">
        <v>24</v>
      </c>
      <c r="J8" s="195" t="s">
        <v>160</v>
      </c>
      <c r="K8" s="166" t="s">
        <v>24</v>
      </c>
      <c r="L8" s="195" t="s">
        <v>160</v>
      </c>
      <c r="M8" s="121" t="s">
        <v>24</v>
      </c>
      <c r="N8" s="195" t="s">
        <v>160</v>
      </c>
      <c r="O8" s="166" t="s">
        <v>24</v>
      </c>
      <c r="Q8" s="230"/>
    </row>
    <row r="9" spans="1:17" ht="15" customHeight="1">
      <c r="A9" s="1" t="s">
        <v>79</v>
      </c>
      <c r="B9" s="207">
        <f>+GETPIVOTDATA("Undergrad Student Credit Hour  FTE - Old",'FTE Pivot for regular counts'!$A$2,"Category",1,"Category2","Group1")</f>
        <v>838542.16666666674</v>
      </c>
      <c r="C9" s="259"/>
      <c r="D9" s="208">
        <f>+GETPIVOTDATA("Undergrad Student Credit Hour  FTE - Old",'FTE Pivot for regular counts'!$A$2,"Category",2,"Category2","Four-Year")</f>
        <v>193405.23888888891</v>
      </c>
      <c r="E9" s="259"/>
      <c r="F9" s="186">
        <f>+GETPIVOTDATA("Undergrad Student Credit Hour  FTE - Old",'FTE Pivot for regular counts'!$A$2,"Category",3,"Category2","Four-Year")</f>
        <v>538370.09999999986</v>
      </c>
      <c r="G9" s="259"/>
      <c r="H9" s="186">
        <f>+GETPIVOTDATA("Undergrad Student Credit Hour  FTE - Old",'FTE Pivot for regular counts'!$A$2,"Category",4,"Category2","Four-Year")</f>
        <v>185066.09</v>
      </c>
      <c r="I9" s="259"/>
      <c r="J9" s="186">
        <f>+GETPIVOTDATA("Undergrad Student Credit Hour  FTE - Old",'FTE Pivot for regular counts'!$A$2,"Category",5,"Category2","Four-Year")</f>
        <v>112721.15000000002</v>
      </c>
      <c r="K9" s="259"/>
      <c r="L9" s="186">
        <f>+GETPIVOTDATA("Undergrad Student Credit Hour  FTE - Old",'FTE Pivot for regular counts'!$A$2,"Category",6,"Category2","Four-Year")</f>
        <v>66272.090000000011</v>
      </c>
      <c r="M9" s="259"/>
      <c r="N9" s="186">
        <f>+GETPIVOTDATA("Undergrad Student Credit Hour  FTE - Old",'FTE Pivot for regular counts'!$A$2,"Category2","Four-Year")</f>
        <v>1934376.8355555558</v>
      </c>
      <c r="O9" s="259"/>
    </row>
    <row r="10" spans="1:17" ht="12.75" customHeight="1">
      <c r="B10" s="5"/>
      <c r="C10" s="260" t="s">
        <v>230</v>
      </c>
      <c r="D10" s="186"/>
      <c r="E10" s="260" t="s">
        <v>231</v>
      </c>
      <c r="F10" s="186"/>
      <c r="G10" s="260" t="s">
        <v>232</v>
      </c>
      <c r="H10" s="186"/>
      <c r="I10" s="260" t="s">
        <v>233</v>
      </c>
      <c r="J10" s="186"/>
      <c r="K10" s="260" t="s">
        <v>234</v>
      </c>
      <c r="L10" s="186"/>
      <c r="M10" s="260" t="s">
        <v>235</v>
      </c>
      <c r="N10" s="186"/>
      <c r="O10" s="260" t="s">
        <v>236</v>
      </c>
    </row>
    <row r="11" spans="1:17" ht="15" customHeight="1">
      <c r="A11" s="1" t="s">
        <v>80</v>
      </c>
      <c r="B11" s="5">
        <f>+GETPIVOTDATA("Undergrad Student Credit Hour  FTE - Old",'FTE Pivot for regular counts'!$A$2,"State","AL","Category",1,"Category2","Four-Year")</f>
        <v>51565.366666666669</v>
      </c>
      <c r="C11" s="211">
        <f>+GETPIVOTDATA("Sum of Old-HS % of Total",'Pivot-HS Student % of Undergrad'!$A$3,"State","AL","Category",1,"Category2","Four-Year")</f>
        <v>4.2017865996621764E-4</v>
      </c>
      <c r="D11" s="186">
        <f>+GETPIVOTDATA("Undergrad Student Credit Hour  FTE - Old",'FTE Pivot for regular counts'!$A$2,"State","AL","Category",2,"Category2","Four-Year")</f>
        <v>5368.7</v>
      </c>
      <c r="E11" s="167">
        <f>+GETPIVOTDATA("Sum of Old-HS % of Total",'Pivot-HS Student % of Undergrad'!$A$3,"State","AL","Category",2,"Category2","Four-Year")</f>
        <v>2.4121295658166781E-3</v>
      </c>
      <c r="F11" s="186">
        <f>+GETPIVOTDATA("Undergrad Student Credit Hour  FTE - Old",'FTE Pivot for regular counts'!$A$2,"State","AL","Category",3,"Category2","Four-Year")</f>
        <v>32065.633333333331</v>
      </c>
      <c r="G11" s="167">
        <f>+GETPIVOTDATA("Sum of Old-HS % of Total",'Pivot-HS Student % of Undergrad'!$A$3,"State","AL","Category",3,"Category2","Four-Year")</f>
        <v>3.0998919923615003E-3</v>
      </c>
      <c r="H11" s="186">
        <f>+GETPIVOTDATA("Undergrad Student Credit Hour  FTE - Old",'FTE Pivot for regular counts'!$A$2,"State","AL","Category",4,"Category2","Four-Year")</f>
        <v>14667.866666666667</v>
      </c>
      <c r="I11" s="167">
        <f>+GETPIVOTDATA("Sum of Old-HS % of Total",'Pivot-HS Student % of Undergrad'!$A$3,"State","AL","Category",4,"Category2","Four-Year")</f>
        <v>6.1835849794107754E-3</v>
      </c>
      <c r="J11" s="186">
        <f>+GETPIVOTDATA("Undergrad Student Credit Hour  FTE - Old",'FTE Pivot for regular counts'!$A$2,"State","AL","Category",5,"Category2","Four-Year")</f>
        <v>4144.2333333333336</v>
      </c>
      <c r="K11" s="167">
        <f>+GETPIVOTDATA("Sum of Old-HS % of Total",'Pivot-HS Student % of Undergrad'!$A$3,"State","AL","Category",5,"Category2","Four-Year")</f>
        <v>1.2547556041728667E-3</v>
      </c>
      <c r="L11" s="186">
        <f>+GETPIVOTDATA("Undergrad Student Credit Hour  FTE - Old",'FTE Pivot for regular counts'!$A$2,"State","AL","Category",6,"Category2","Four-Year")</f>
        <v>2973</v>
      </c>
      <c r="M11" s="167">
        <f>+GETPIVOTDATA("Sum of Old-HS % of Total",'Pivot-HS Student % of Undergrad'!$A$3,"State","AL","Category",6,"Category2","Four-Year")</f>
        <v>0</v>
      </c>
      <c r="N11" s="186">
        <f>+GETPIVOTDATA("Undergrad Student Credit Hour  FTE - Old",'FTE Pivot for regular counts'!$A$2,"State","AL","Category2","Four-Year")</f>
        <v>110784.8</v>
      </c>
      <c r="O11" s="167">
        <f>+GETPIVOTDATA("Sum of Old-HS % of Total",'Pivot-HS Student % of Undergrad'!$A$3,"State","AL","Category2","Group1")</f>
        <v>2.075344872822505E-3</v>
      </c>
    </row>
    <row r="12" spans="1:17" ht="15" customHeight="1">
      <c r="A12" s="4" t="s">
        <v>81</v>
      </c>
      <c r="B12" s="5">
        <f>+GETPIVOTDATA("Undergrad Student Credit Hour  FTE - Old",'FTE Pivot for regular counts'!$A$2,"State","AR","Category",1,"Category2","Four-Year")</f>
        <v>15777.933333333332</v>
      </c>
      <c r="C12" s="211">
        <f>+GETPIVOTDATA("Sum of Old-HS % of Total",'Pivot-HS Student % of Undergrad'!$A$3,"State","AR","Category",1,"Category2","Four-Year")</f>
        <v>1.5844914205071216E-4</v>
      </c>
      <c r="D12" s="186">
        <f>+GETPIVOTDATA("Undergrad Student Credit Hour  FTE - Old",'FTE Pivot for regular counts'!$A$2,"State","AR","Category",2,"Category2","Four-Year")</f>
        <v>0</v>
      </c>
      <c r="E12" s="167">
        <f>+GETPIVOTDATA("Sum of Old-HS % of Total",'Pivot-HS Student % of Undergrad'!$A$3,"State","AR","Category",2,"Category2","Four-Year")</f>
        <v>0</v>
      </c>
      <c r="F12" s="186">
        <f>+GETPIVOTDATA("Undergrad Student Credit Hour  FTE - Old",'FTE Pivot for regular counts'!$A$2,"State","AR","Category",3,"Category2","Four-Year")</f>
        <v>25953.933333333334</v>
      </c>
      <c r="G12" s="167">
        <f>+GETPIVOTDATA("Sum of Old-HS % of Total",'Pivot-HS Student % of Undergrad'!$A$3,"State","AR","Category",3,"Category2","Four-Year")</f>
        <v>2.5558104230829496E-2</v>
      </c>
      <c r="H12" s="186">
        <f>+GETPIVOTDATA("Undergrad Student Credit Hour  FTE - Old",'FTE Pivot for regular counts'!$A$2,"State","AR","Category",4,"Category2","Four-Year")</f>
        <v>12798.833333333332</v>
      </c>
      <c r="I12" s="167">
        <f>+GETPIVOTDATA("Sum of Old-HS % of Total",'Pivot-HS Student % of Undergrad'!$A$3,"State","AR","Category",4,"Category2","Four-Year")</f>
        <v>1.6629119841652235E-2</v>
      </c>
      <c r="J12" s="186">
        <f>+GETPIVOTDATA("Undergrad Student Credit Hour  FTE - Old",'FTE Pivot for regular counts'!$A$2,"State","AR","Category",5,"Category2","Four-Year")</f>
        <v>2353.1</v>
      </c>
      <c r="K12" s="167">
        <f>+GETPIVOTDATA("Sum of Old-HS % of Total",'Pivot-HS Student % of Undergrad'!$A$3,"State","AR","Category",5,"Category2","Four-Year")</f>
        <v>4.6307707563072828E-2</v>
      </c>
      <c r="L12" s="186">
        <f>+GETPIVOTDATA("Undergrad Student Credit Hour  FTE - Old",'FTE Pivot for regular counts'!$A$2,"State","AR","Category",6,"Category2","Four-Year")</f>
        <v>9475.0666666666675</v>
      </c>
      <c r="M12" s="167">
        <f>+GETPIVOTDATA("Sum of Old-HS % of Total",'Pivot-HS Student % of Undergrad'!$A$3,"State","AR","Category",6,"Category2","Four-Year")</f>
        <v>2.8513431743664074E-2</v>
      </c>
      <c r="N12" s="186">
        <f>+GETPIVOTDATA("Undergrad Student Credit Hour  FTE - Old",'FTE Pivot for regular counts'!$A$2,"State","AR","Category2","Four-Year")</f>
        <v>66358.866666666669</v>
      </c>
      <c r="O12" s="167">
        <f>+GETPIVOTDATA("Sum of Old-HS % of Total",'Pivot-HS Student % of Undergrad'!$A$3,"State","AR","Category2","Group1")</f>
        <v>1.8954512986458477E-2</v>
      </c>
    </row>
    <row r="13" spans="1:17" ht="15" customHeight="1">
      <c r="A13" s="1" t="s">
        <v>118</v>
      </c>
      <c r="B13" s="5">
        <f>+GETPIVOTDATA("Undergrad Student Credit Hour  FTE - Old",'FTE Pivot for regular counts'!$A$2,"State","DE","Category",1,"Category2","Four-Year")</f>
        <v>17318.166666666668</v>
      </c>
      <c r="C13" s="167">
        <f>+GETPIVOTDATA("Sum of Old-HS % of Total",'Pivot-HS Student % of Undergrad'!$A$3,"State","DE","Category",1,"Category2","Four-Year")</f>
        <v>3.6897670076701731E-3</v>
      </c>
      <c r="D13" s="186">
        <f>+GETPIVOTDATA("Undergrad Student Credit Hour  FTE - Old",'FTE Pivot for regular counts'!$A$2,"State","DE","Category",2,"Category2","Four-Year")</f>
        <v>0</v>
      </c>
      <c r="E13" s="167">
        <f>+GETPIVOTDATA("Sum of Old-HS % of Total",'Pivot-HS Student % of Undergrad'!$A$3,"State","DE","Category",2,"Category2","Four-Year")</f>
        <v>0</v>
      </c>
      <c r="F13" s="186">
        <f>+GETPIVOTDATA("Undergrad Student Credit Hour  FTE - Old",'FTE Pivot for regular counts'!$A$2,"State","DE","Category",3,"Category2","Four-Year")</f>
        <v>0</v>
      </c>
      <c r="G13" s="167">
        <f>+GETPIVOTDATA("Sum of Old-HS % of Total",'Pivot-HS Student % of Undergrad'!$A$3,"State","DE","Category",3,"Category2","Four-Year")</f>
        <v>0</v>
      </c>
      <c r="H13" s="186">
        <f>+GETPIVOTDATA("Undergrad Student Credit Hour  FTE - Old",'FTE Pivot for regular counts'!$A$2,"State","DE","Category",4,"Category2","Four-Year")</f>
        <v>3319.4666666666667</v>
      </c>
      <c r="I13" s="167">
        <f>+GETPIVOTDATA("Sum of Old-HS % of Total",'Pivot-HS Student % of Undergrad'!$A$3,"State","FL","Category",4,"Category2","Four-Year")</f>
        <v>8.0387466846214804E-3</v>
      </c>
      <c r="J13" s="186">
        <f>+GETPIVOTDATA("Undergrad Student Credit Hour  FTE - Old",'FTE Pivot for regular counts'!$A$2,"State","DE","Category",5,"Category2","Four-Year")</f>
        <v>0</v>
      </c>
      <c r="K13" s="167">
        <f>+GETPIVOTDATA("Sum of Old-HS % of Total",'Pivot-HS Student % of Undergrad'!$A$3,"State","FL","Category",5,"Category2","Four-Year")</f>
        <v>0</v>
      </c>
      <c r="L13" s="186">
        <f>+GETPIVOTDATA("Undergrad Student Credit Hour  FTE - Old",'FTE Pivot for regular counts'!$A$2,"State","DE","Category",6,"Category2","Four-Year")</f>
        <v>0</v>
      </c>
      <c r="M13" s="167">
        <f>+GETPIVOTDATA("Sum of Old-HS % of Total",'Pivot-HS Student % of Undergrad'!$A$3,"State","DE","Category",6,"Category2","Four-Year")</f>
        <v>0</v>
      </c>
      <c r="N13" s="186">
        <f>+GETPIVOTDATA("Undergrad Student Credit Hour  FTE - Old",'FTE Pivot for regular counts'!$A$2,"State","DE","Category2","Four-Year")</f>
        <v>20637.633333333335</v>
      </c>
      <c r="O13" s="167">
        <f>+GETPIVOTDATA("Sum of Old-HS % of Total",'Pivot-HS Student % of Undergrad'!$A$3,"State","DE","Category2","Group1")</f>
        <v>3.3870162760910893E-3</v>
      </c>
    </row>
    <row r="14" spans="1:17" ht="15" customHeight="1">
      <c r="A14" s="1" t="s">
        <v>82</v>
      </c>
      <c r="B14" s="5">
        <f>+GETPIVOTDATA("Undergrad Student Credit Hour  FTE - Old",'FTE Pivot for regular counts'!$A$2,"State","FL","Category",1,"Category2","Four-Year")</f>
        <v>171552.23333333334</v>
      </c>
      <c r="C14" s="167">
        <f>+GETPIVOTDATA("Sum of Old-HS % of Total",'Pivot-HS Student % of Undergrad'!$A$3,"State","FL","Category",1,"Category2","Four-Year")</f>
        <v>3.992952972340591E-3</v>
      </c>
      <c r="D14" s="186">
        <f>+GETPIVOTDATA("Undergrad Student Credit Hour  FTE - Old",'FTE Pivot for regular counts'!$A$2,"State","FL","Category",2,"Category2","Four-Year")</f>
        <v>19007.833333333332</v>
      </c>
      <c r="E14" s="167">
        <f>+GETPIVOTDATA("Sum of Old-HS % of Total",'Pivot-HS Student % of Undergrad'!$A$3,"State","FL","Category",2,"Category2","Four-Year")</f>
        <v>9.2838917288486332E-3</v>
      </c>
      <c r="F14" s="186">
        <f>+GETPIVOTDATA("Undergrad Student Credit Hour  FTE - Old",'FTE Pivot for regular counts'!$A$2,"State","FL","Category",3,"Category2","Four-Year")</f>
        <v>31785.433333333334</v>
      </c>
      <c r="G14" s="167">
        <f>+GETPIVOTDATA("Sum of Old-HS % of Total",'Pivot-HS Student % of Undergrad'!$A$3,"State","FL","Category",3,"Category2","Four-Year")</f>
        <v>1.2657789784209328E-3</v>
      </c>
      <c r="H14" s="186">
        <f>+GETPIVOTDATA("Undergrad Student Credit Hour  FTE - Old",'FTE Pivot for regular counts'!$A$2,"State","FL","Category",4,"Category2","Four-Year")</f>
        <v>8960.7666666666664</v>
      </c>
      <c r="I14" s="167">
        <f>+GETPIVOTDATA("Sum of Old-HS % of Total",'Pivot-HS Student % of Undergrad'!$A$3,"State","FL","Category",4,"Category2","Four-Year")</f>
        <v>8.0387466846214804E-3</v>
      </c>
      <c r="J14" s="186">
        <f>+GETPIVOTDATA("Undergrad Student Credit Hour  FTE - Old",'FTE Pivot for regular counts'!$A$2,"State","FL","Category",5,"Category2","Four-Year")</f>
        <v>0</v>
      </c>
      <c r="K14" s="167">
        <f>+GETPIVOTDATA("Sum of Old-HS % of Total",'Pivot-HS Student % of Undergrad'!$A$3,"State","FL","Category",5,"Category2","Four-Year")</f>
        <v>0</v>
      </c>
      <c r="L14" s="186">
        <f>+GETPIVOTDATA("Undergrad Student Credit Hour  FTE - Old",'FTE Pivot for regular counts'!$A$2,"State","FL","Category",6,"Category2","Four-Year")</f>
        <v>922.66666666666663</v>
      </c>
      <c r="M14" s="167">
        <f>+GETPIVOTDATA("Sum of Old-HS % of Total",'Pivot-HS Student % of Undergrad'!$A$3,"State","FL","Category",6,"Category2","Four-Year")</f>
        <v>1.1560693641618498E-3</v>
      </c>
      <c r="N14" s="186">
        <f>+GETPIVOTDATA("Undergrad Student Credit Hour  FTE - Old",'FTE Pivot for regular counts'!$A$2,"State","FL","Category2","Four-Year")</f>
        <v>232228.93333333332</v>
      </c>
      <c r="O14" s="167">
        <f>+GETPIVOTDATA("Sum of Old-HS % of Total",'Pivot-HS Student % of Undergrad'!$A$3,"State","FL","Category2","Group1")</f>
        <v>4.1975820411697196E-3</v>
      </c>
    </row>
    <row r="15" spans="1:17" ht="15" customHeight="1">
      <c r="B15" s="5"/>
      <c r="C15" s="167"/>
      <c r="D15" s="186"/>
      <c r="E15" s="167"/>
      <c r="F15" s="186"/>
      <c r="G15" s="167"/>
      <c r="H15" s="186"/>
      <c r="I15" s="167"/>
      <c r="J15" s="186"/>
      <c r="K15" s="167"/>
      <c r="L15" s="186"/>
      <c r="M15" s="167"/>
      <c r="N15" s="186"/>
      <c r="O15" s="167"/>
    </row>
    <row r="16" spans="1:17" ht="15" customHeight="1">
      <c r="A16" s="1" t="s">
        <v>83</v>
      </c>
      <c r="B16" s="5">
        <f>+GETPIVOTDATA("Undergrad Student Credit Hour  FTE - Old",'FTE Pivot for regular counts'!$A$2,"State","GA","Category",1,"Category2","Four-Year")</f>
        <v>46498.966666666667</v>
      </c>
      <c r="C16" s="167">
        <f>+GETPIVOTDATA("Sum of Old-HS % of Total",'Pivot-HS Student % of Undergrad'!$A$3,"State","GA","Category",1,"Category2","Four-Year")</f>
        <v>1.392504062814299E-3</v>
      </c>
      <c r="D16" s="186">
        <f>+GETPIVOTDATA("Undergrad Student Credit Hour  FTE - Old",'FTE Pivot for regular counts'!$A$2,"State","GA","Category",2,"Category2","Four-Year")</f>
        <v>13641.266666666666</v>
      </c>
      <c r="E16" s="167">
        <f>+GETPIVOTDATA("Sum of Old-HS % of Total",'Pivot-HS Student % of Undergrad'!$A$3,"State","GA","Category",2,"Category2","Four-Year")</f>
        <v>4.7649534011993018E-3</v>
      </c>
      <c r="F16" s="186">
        <f>+GETPIVOTDATA("Undergrad Student Credit Hour  FTE - Old",'FTE Pivot for regular counts'!$A$2,"State","GA","Category",3,"Category2","Four-Year")</f>
        <v>35672.800000000003</v>
      </c>
      <c r="G16" s="167">
        <f>+GETPIVOTDATA("Sum of Old-HS % of Total",'Pivot-HS Student % of Undergrad'!$A$3,"State","GA","Category",3,"Category2","Four-Year")</f>
        <v>4.2170318375157915E-3</v>
      </c>
      <c r="H16" s="186">
        <f>+GETPIVOTDATA("Undergrad Student Credit Hour  FTE - Old",'FTE Pivot for regular counts'!$A$2,"State","GA","Category",4,"Category2","Four-Year")</f>
        <v>41072.656666666669</v>
      </c>
      <c r="I16" s="167">
        <f>+GETPIVOTDATA("Sum of Old-HS % of Total",'Pivot-HS Student % of Undergrad'!$A$3,"State","GA","Category",4,"Category2","Four-Year")</f>
        <v>4.1893240085029808E-3</v>
      </c>
      <c r="J16" s="186">
        <f>+GETPIVOTDATA("Undergrad Student Credit Hour  FTE - Old",'FTE Pivot for regular counts'!$A$2,"State","GA","Category",5,"Category2","Four-Year")</f>
        <v>25367.466666666667</v>
      </c>
      <c r="K16" s="167">
        <f>+GETPIVOTDATA("Sum of Old-HS % of Total",'Pivot-HS Student % of Undergrad'!$A$3,"State","GA","Category",5,"Category2","Four-Year")</f>
        <v>8.7645067698259183E-3</v>
      </c>
      <c r="L16" s="186">
        <f>+GETPIVOTDATA("Undergrad Student Credit Hour  FTE - Old",'FTE Pivot for regular counts'!$A$2,"State","GA","Category",6,"Category2","Four-Year")</f>
        <v>8950.4</v>
      </c>
      <c r="M16" s="167">
        <f>+GETPIVOTDATA("Sum of Old-HS % of Total",'Pivot-HS Student % of Undergrad'!$A$3,"State","GA","Category",6,"Category2","Four-Year")</f>
        <v>1.0047968061017758E-2</v>
      </c>
      <c r="N16" s="186">
        <f>+GETPIVOTDATA("Undergrad Student Credit Hour  FTE - Old",'FTE Pivot for regular counts'!$A$2,"State","GA","Category2","Four-Year")</f>
        <v>171203.55666666667</v>
      </c>
      <c r="O16" s="167">
        <f>+GETPIVOTDATA("Sum of Old-HS % of Total",'Pivot-HS Student % of Undergrad'!$A$3,"State","GA","Category2","Group1")</f>
        <v>4.4655419639159756E-3</v>
      </c>
    </row>
    <row r="17" spans="1:15" ht="15" customHeight="1">
      <c r="A17" s="1" t="s">
        <v>84</v>
      </c>
      <c r="B17" s="5">
        <f>+GETPIVOTDATA("Undergrad Student Credit Hour  FTE - Old",'FTE Pivot for regular counts'!$A$2,"State","KY","Category",1,"Category2","Four-Year")</f>
        <v>31127.416666666664</v>
      </c>
      <c r="C17" s="167">
        <f>+GETPIVOTDATA("Sum of Old-HS % of Total",'Pivot-HS Student % of Undergrad'!$A$3,"State","KY","Category",1,"Category2","Four-Year")</f>
        <v>1.1683162485375967E-3</v>
      </c>
      <c r="D17" s="186">
        <f>+GETPIVOTDATA("Undergrad Student Credit Hour  FTE - Old",'FTE Pivot for regular counts'!$A$2,"State","KY","Category",2,"Category2","Four-Year")</f>
        <v>0</v>
      </c>
      <c r="E17" s="167">
        <f>+GETPIVOTDATA("Sum of Old-HS % of Total",'Pivot-HS Student % of Undergrad'!$A$3,"State","KY","Category",2,"Category2","Four-Year")</f>
        <v>0</v>
      </c>
      <c r="F17" s="186">
        <f>+GETPIVOTDATA("Undergrad Student Credit Hour  FTE - Old",'FTE Pivot for regular counts'!$A$2,"State","KY","Category",3,"Category2","Four-Year")</f>
        <v>41593.76666666667</v>
      </c>
      <c r="G17" s="167">
        <f>+GETPIVOTDATA("Sum of Old-HS % of Total",'Pivot-HS Student % of Undergrad'!$A$3,"State","KY","Category",3,"Category2","Four-Year")</f>
        <v>1.431785051125449E-2</v>
      </c>
      <c r="H17" s="186">
        <f>+GETPIVOTDATA("Undergrad Student Credit Hour  FTE - Old",'FTE Pivot for regular counts'!$A$2,"State","KY","Category",4,"Category2","Four-Year")</f>
        <v>13280.966666666667</v>
      </c>
      <c r="I17" s="167">
        <f>+GETPIVOTDATA("Sum of Old-HS % of Total",'Pivot-HS Student % of Undergrad'!$A$3,"State","KY","Category",4,"Category2","Four-Year")</f>
        <v>1.1229102299280425E-2</v>
      </c>
      <c r="J17" s="186">
        <f>+GETPIVOTDATA("Undergrad Student Credit Hour  FTE - Old",'FTE Pivot for regular counts'!$A$2,"State","KY","Category",5,"Category2","Four-Year")</f>
        <v>0</v>
      </c>
      <c r="K17" s="167">
        <f>+GETPIVOTDATA("Sum of Old-HS % of Total",'Pivot-HS Student % of Undergrad'!$A$3,"State","KY","Category",5,"Category2","Four-Year")</f>
        <v>0</v>
      </c>
      <c r="L17" s="186">
        <f>+GETPIVOTDATA("Undergrad Student Credit Hour  FTE - Old",'FTE Pivot for regular counts'!$A$2,"State","KY","Category",6,"Category2","Four-Year")</f>
        <v>0</v>
      </c>
      <c r="M17" s="167">
        <f>+GETPIVOTDATA("Sum of Old-HS % of Total",'Pivot-HS Student % of Undergrad'!$A$3,"State","KY","Category",6,"Category2","Four-Year")</f>
        <v>0</v>
      </c>
      <c r="N17" s="186">
        <f>+GETPIVOTDATA("Undergrad Student Credit Hour  FTE - Old",'FTE Pivot for regular counts'!$A$2,"State","KY","Category2","Four-Year")</f>
        <v>86002.15</v>
      </c>
      <c r="O17" s="167">
        <f>+GETPIVOTDATA("Sum of Old-HS % of Total",'Pivot-HS Student % of Undergrad'!$A$3,"State","KY","Category2","Group1")</f>
        <v>9.0815559068387636E-3</v>
      </c>
    </row>
    <row r="18" spans="1:15" ht="15" customHeight="1">
      <c r="A18" s="1" t="s">
        <v>85</v>
      </c>
      <c r="B18" s="5">
        <f>+GETPIVOTDATA("Undergrad Student Credit Hour  FTE - Old",'FTE Pivot for regular counts'!$A$2,"State","LA","Category",1,"Category2","Four-Year")</f>
        <v>23979.766666666666</v>
      </c>
      <c r="C18" s="167">
        <f>+GETPIVOTDATA("Sum of Old-HS % of Total",'Pivot-HS Student % of Undergrad'!$A$3,"State","LA","Category",1,"Category2","Four-Year")</f>
        <v>1.0300350434324494E-3</v>
      </c>
      <c r="D18" s="186">
        <f>+GETPIVOTDATA("Undergrad Student Credit Hour  FTE - Old",'FTE Pivot for regular counts'!$A$2,"State","LA","Category",2,"Category2","Four-Year")</f>
        <v>26124.022222222222</v>
      </c>
      <c r="E18" s="167">
        <f>+GETPIVOTDATA("Sum of Old-HS % of Total",'Pivot-HS Student % of Undergrad'!$A$3,"State","LA","Category",2,"Category2","Four-Year")</f>
        <v>1.0550830272132165E-2</v>
      </c>
      <c r="F18" s="186">
        <f>+GETPIVOTDATA("Undergrad Student Credit Hour  FTE - Old",'FTE Pivot for regular counts'!$A$2,"State","LA","Category",3,"Category2","Four-Year")</f>
        <v>25002.633333333335</v>
      </c>
      <c r="G18" s="167">
        <f>+GETPIVOTDATA("Sum of Old-HS % of Total",'Pivot-HS Student % of Undergrad'!$A$3,"State","LA","Category",3,"Category2","Four-Year")</f>
        <v>1.7112864111646905E-2</v>
      </c>
      <c r="H18" s="186">
        <f>+GETPIVOTDATA("Undergrad Student Credit Hour  FTE - Old",'FTE Pivot for regular counts'!$A$2,"State","LA","Category",4,"Category2","Four-Year")</f>
        <v>30507.733333333334</v>
      </c>
      <c r="I18" s="167">
        <f>+GETPIVOTDATA("Sum of Old-HS % of Total",'Pivot-HS Student % of Undergrad'!$A$3,"State","LA","Category",4,"Category2","Four-Year")</f>
        <v>1.8786493479248979E-2</v>
      </c>
      <c r="J18" s="186">
        <f>+GETPIVOTDATA("Undergrad Student Credit Hour  FTE - Old",'FTE Pivot for regular counts'!$A$2,"State","LA","Category",5,"Category2","Four-Year")</f>
        <v>0</v>
      </c>
      <c r="K18" s="167">
        <f>+GETPIVOTDATA("Sum of Old-HS % of Total",'Pivot-HS Student % of Undergrad'!$A$3,"State","LA","Category",5,"Category2","Four-Year")</f>
        <v>0</v>
      </c>
      <c r="L18" s="186">
        <f>+GETPIVOTDATA("Undergrad Student Credit Hour  FTE - Old",'FTE Pivot for regular counts'!$A$2,"State","LA","Category",6,"Category2","Four-Year")</f>
        <v>1883.4666666666667</v>
      </c>
      <c r="M18" s="167">
        <f>+GETPIVOTDATA("Sum of Old-HS % of Total",'Pivot-HS Student % of Undergrad'!$A$3,"State","LA","Category",6,"Category2","Four-Year")</f>
        <v>4.4280050969842846E-2</v>
      </c>
      <c r="N18" s="186">
        <f>+GETPIVOTDATA("Undergrad Student Credit Hour  FTE - Old",'FTE Pivot for regular counts'!$A$2,"State","LA","Category2","Four-Year")</f>
        <v>107497.62222222221</v>
      </c>
      <c r="O18" s="167">
        <f>+GETPIVOTDATA("Sum of Old-HS % of Total",'Pivot-HS Student % of Undergrad'!$A$3,"State","LA","Category2","Group1")</f>
        <v>1.2827296409223223E-2</v>
      </c>
    </row>
    <row r="19" spans="1:15" ht="15" customHeight="1">
      <c r="A19" s="1" t="s">
        <v>86</v>
      </c>
      <c r="B19" s="5">
        <f>+GETPIVOTDATA("Undergrad Student Credit Hour  FTE - Old",'FTE Pivot for regular counts'!$A$2,"State","MD","Category",1,"Category2","Four-Year")</f>
        <v>26640.6</v>
      </c>
      <c r="C19" s="167">
        <f>+GETPIVOTDATA("Sum of Old-HS % of Total",'Pivot-HS Student % of Undergrad'!$A$3,"State","MD","Category",1,"Category2","Four-Year")</f>
        <v>0</v>
      </c>
      <c r="D19" s="186">
        <f>+GETPIVOTDATA("Undergrad Student Credit Hour  FTE - Old",'FTE Pivot for regular counts'!$A$2,"State","MD","Category",2,"Category2","Four-Year")</f>
        <v>15721.349999999999</v>
      </c>
      <c r="E19" s="167">
        <f>+GETPIVOTDATA("Sum of Old-HS % of Total",'Pivot-HS Student % of Undergrad'!$A$3,"State","MD","Category",2,"Category2","Four-Year")</f>
        <v>0</v>
      </c>
      <c r="F19" s="186">
        <f>+GETPIVOTDATA("Undergrad Student Credit Hour  FTE - Old",'FTE Pivot for regular counts'!$A$2,"State","MD","Category",3,"Category2","Four-Year")</f>
        <v>16890.516666666666</v>
      </c>
      <c r="G19" s="167">
        <f>+GETPIVOTDATA("Sum of Old-HS % of Total",'Pivot-HS Student % of Undergrad'!$A$3,"State","MD","Category",3,"Category2","Four-Year")</f>
        <v>0</v>
      </c>
      <c r="H19" s="186">
        <f>+GETPIVOTDATA("Undergrad Student Credit Hour  FTE - Old",'FTE Pivot for regular counts'!$A$2,"State","MD","Category",4,"Category2","Four-Year")</f>
        <v>25506.466666666667</v>
      </c>
      <c r="I19" s="167">
        <f>+GETPIVOTDATA("Sum of Old-HS % of Total",'Pivot-HS Student % of Undergrad'!$A$3,"State","MD","Category",4,"Category2","Four-Year")</f>
        <v>0</v>
      </c>
      <c r="J19" s="186">
        <f>+GETPIVOTDATA("Undergrad Student Credit Hour  FTE - Old",'FTE Pivot for regular counts'!$A$2,"State","MD","Category",5,"Category2","Four-Year")</f>
        <v>0</v>
      </c>
      <c r="K19" s="167">
        <f>+GETPIVOTDATA("Sum of Old-HS % of Total",'Pivot-HS Student % of Undergrad'!$A$3,"State","MD","Category",5,"Category2","Four-Year")</f>
        <v>0</v>
      </c>
      <c r="L19" s="186">
        <f>+GETPIVOTDATA("Undergrad Student Credit Hour  FTE - Old",'FTE Pivot for regular counts'!$A$2,"State","MD","Category",6,"Category2","Four-Year")</f>
        <v>2094.4833333333331</v>
      </c>
      <c r="M19" s="167">
        <f>+GETPIVOTDATA("Sum of Old-HS % of Total",'Pivot-HS Student % of Undergrad'!$A$3,"State","MD","Category",6,"Category2","Four-Year")</f>
        <v>0</v>
      </c>
      <c r="N19" s="186">
        <f>+GETPIVOTDATA("Undergrad Student Credit Hour  FTE - Old",'FTE Pivot for regular counts'!$A$2,"State","MD","Category2","Four-Year")</f>
        <v>86853.416666666657</v>
      </c>
      <c r="O19" s="167">
        <f>+GETPIVOTDATA("Sum of Old-HS % of Total",'Pivot-HS Student % of Undergrad'!$A$3,"State","MD","Category2","Group1")</f>
        <v>0</v>
      </c>
    </row>
    <row r="20" spans="1:15" ht="15" customHeight="1">
      <c r="B20" s="5"/>
      <c r="C20" s="167"/>
      <c r="D20" s="186"/>
      <c r="E20" s="167"/>
      <c r="F20" s="186"/>
      <c r="G20" s="167"/>
      <c r="H20" s="186"/>
      <c r="I20" s="167"/>
      <c r="J20" s="186"/>
      <c r="K20" s="167"/>
      <c r="L20" s="186"/>
      <c r="M20" s="167"/>
      <c r="N20" s="186"/>
      <c r="O20" s="167"/>
    </row>
    <row r="21" spans="1:15" ht="15" customHeight="1">
      <c r="A21" s="1" t="s">
        <v>87</v>
      </c>
      <c r="B21" s="5">
        <f>+GETPIVOTDATA("Undergrad Student Credit Hour  FTE - Old",'FTE Pivot for regular counts'!$A$2,"State","MS","Category",1,"Category2","Four-Year")</f>
        <v>25369.5</v>
      </c>
      <c r="C21" s="167">
        <f>+GETPIVOTDATA("Sum of Old-HS % of Total",'Pivot-HS Student % of Undergrad'!$A$3,"State","MS","Category",1,"Category2","Four-Year")</f>
        <v>0</v>
      </c>
      <c r="D21" s="186">
        <f>+GETPIVOTDATA("Undergrad Student Credit Hour  FTE - Old",'FTE Pivot for regular counts'!$A$2,"State","MS","Category",2,"Category2","Four-Year")</f>
        <v>19241.166666666664</v>
      </c>
      <c r="E21" s="167">
        <f>+GETPIVOTDATA("Sum of Old-HS % of Total",'Pivot-HS Student % of Undergrad'!$A$3,"State","MS","Category",2,"Category2","Four-Year")</f>
        <v>0</v>
      </c>
      <c r="F21" s="186">
        <f>+GETPIVOTDATA("Undergrad Student Credit Hour  FTE - Old",'FTE Pivot for regular counts'!$A$2,"State","MS","Category",3,"Category2","Four-Year")</f>
        <v>0</v>
      </c>
      <c r="G21" s="167">
        <f>+GETPIVOTDATA("Sum of Old-HS % of Total",'Pivot-HS Student % of Undergrad'!$A$3,"State","MS","Category",3,"Category2","Four-Year")</f>
        <v>0</v>
      </c>
      <c r="H21" s="186">
        <f>+GETPIVOTDATA("Undergrad Student Credit Hour  FTE - Old",'FTE Pivot for regular counts'!$A$2,"State","MS","Category",4,"Category2","Four-Year")</f>
        <v>7611.8000000000011</v>
      </c>
      <c r="I21" s="167">
        <f>+GETPIVOTDATA("Sum of Old-HS % of Total",'Pivot-HS Student % of Undergrad'!$A$3,"State","MS","Category",4,"Category2","Four-Year")</f>
        <v>0</v>
      </c>
      <c r="J21" s="186">
        <f>+GETPIVOTDATA("Undergrad Student Credit Hour  FTE - Old",'FTE Pivot for regular counts'!$A$2,"State","MS","Category",5,"Category2","Four-Year")</f>
        <v>2100.8000000000002</v>
      </c>
      <c r="K21" s="167">
        <f>+GETPIVOTDATA("Sum of Old-HS % of Total",'Pivot-HS Student % of Undergrad'!$A$3,"State","MS","Category",5,"Category2","Four-Year")</f>
        <v>0</v>
      </c>
      <c r="L21" s="186">
        <f>+GETPIVOTDATA("Undergrad Student Credit Hour  FTE - Old",'FTE Pivot for regular counts'!$A$2,"State","MS","Category",6,"Category2","Four-Year")</f>
        <v>0</v>
      </c>
      <c r="M21" s="167">
        <f>+GETPIVOTDATA("Sum of Old-HS % of Total",'Pivot-HS Student % of Undergrad'!$A$3,"State","MS","Category",6,"Category2","Four-Year")</f>
        <v>0</v>
      </c>
      <c r="N21" s="186">
        <f>+GETPIVOTDATA("Undergrad Student Credit Hour  FTE - Old",'FTE Pivot for regular counts'!$A$2,"State","MS","Category2","Four-Year")</f>
        <v>54323.26666666667</v>
      </c>
      <c r="O21" s="167">
        <f>+GETPIVOTDATA("Sum of Old-HS % of Total",'Pivot-HS Student % of Undergrad'!$A$3,"State","MS","Category2","Group1")</f>
        <v>0</v>
      </c>
    </row>
    <row r="22" spans="1:15" ht="15" customHeight="1">
      <c r="A22" s="1" t="s">
        <v>88</v>
      </c>
      <c r="B22" s="5">
        <f>+GETPIVOTDATA("Undergrad Student Credit Hour  FTE - Old",'FTE Pivot for regular counts'!$A$2,"State","NC","Category",1,"Category2","Four-Year")</f>
        <v>54967.73333333333</v>
      </c>
      <c r="C22" s="167">
        <f>+GETPIVOTDATA("Sum of Old-HS % of Total",'Pivot-HS Student % of Undergrad'!$A$3,"State","NC","Category",1,"Category2","Four-Year")</f>
        <v>4.5687409340752633E-3</v>
      </c>
      <c r="D22" s="186">
        <f>+GETPIVOTDATA("Undergrad Student Credit Hour  FTE - Old",'FTE Pivot for regular counts'!$A$2,"State","NC","Category",2,"Category2","Four-Year")</f>
        <v>18363.733333333334</v>
      </c>
      <c r="E22" s="167">
        <f>+GETPIVOTDATA("Sum of Old-HS % of Total",'Pivot-HS Student % of Undergrad'!$A$3,"State","NC","Category",2,"Category2","Four-Year")</f>
        <v>0</v>
      </c>
      <c r="F22" s="186">
        <f>+GETPIVOTDATA("Undergrad Student Credit Hour  FTE - Old",'FTE Pivot for regular counts'!$A$2,"State","NC","Category",3,"Category2","Four-Year")</f>
        <v>68819.133333333331</v>
      </c>
      <c r="G22" s="167">
        <f>+GETPIVOTDATA("Sum of Old-HS % of Total",'Pivot-HS Student % of Undergrad'!$A$3,"State","NC","Category",3,"Category2","Four-Year")</f>
        <v>4.8988314296314886E-3</v>
      </c>
      <c r="H22" s="186">
        <f>+GETPIVOTDATA("Undergrad Student Credit Hour  FTE - Old",'FTE Pivot for regular counts'!$A$2,"State","NC","Category",4,"Category2","Four-Year")</f>
        <v>4827.6333333333332</v>
      </c>
      <c r="I22" s="167">
        <f>+GETPIVOTDATA("Sum of Old-HS % of Total",'Pivot-HS Student % of Undergrad'!$A$3,"State","NC","Category",4,"Category2","Four-Year")</f>
        <v>2.6838547528464603E-2</v>
      </c>
      <c r="J22" s="186">
        <f>+GETPIVOTDATA("Undergrad Student Credit Hour  FTE - Old",'FTE Pivot for regular counts'!$A$2,"State","NC","Category",5,"Category2","Four-Year")</f>
        <v>11428.3</v>
      </c>
      <c r="K22" s="167">
        <f>+GETPIVOTDATA("Sum of Old-HS % of Total",'Pivot-HS Student % of Undergrad'!$A$3,"State","NC","Category",5,"Category2","Four-Year")</f>
        <v>0</v>
      </c>
      <c r="L22" s="186">
        <f>+GETPIVOTDATA("Undergrad Student Credit Hour  FTE - Old",'FTE Pivot for regular counts'!$A$2,"State","NC","Category",6,"Category2","Four-Year")</f>
        <v>6750.5333333333328</v>
      </c>
      <c r="M22" s="167">
        <f>+GETPIVOTDATA("Sum of Old-HS % of Total",'Pivot-HS Student % of Undergrad'!$A$3,"State","NC","Category",6,"Category2","Four-Year")</f>
        <v>1.2394082442868711E-3</v>
      </c>
      <c r="N22" s="186">
        <f>+GETPIVOTDATA("Undergrad Student Credit Hour  FTE - Old",'FTE Pivot for regular counts'!$A$2,"State","NC","Category2","Four-Year")</f>
        <v>165157.06666666662</v>
      </c>
      <c r="O22" s="167">
        <f>+GETPIVOTDATA("Sum of Old-HS % of Total",'Pivot-HS Student % of Undergrad'!$A$3,"State","NC","Category2","Group1")</f>
        <v>4.397026507292452E-3</v>
      </c>
    </row>
    <row r="23" spans="1:15" ht="15" customHeight="1">
      <c r="A23" s="1" t="s">
        <v>89</v>
      </c>
      <c r="B23" s="5">
        <f>+GETPIVOTDATA("Undergrad Student Credit Hour  FTE - Old",'FTE Pivot for regular counts'!$A$2,"State","OK","Category",1,"Category2","Four-Year")</f>
        <v>35758.233333333337</v>
      </c>
      <c r="C23" s="167">
        <f>+GETPIVOTDATA("Sum of Old-HS % of Total",'Pivot-HS Student % of Undergrad'!$A$3,"State","OK","Category",1,"Category2","Four-Year")</f>
        <v>9.2286438461258811E-4</v>
      </c>
      <c r="D23" s="186">
        <f>+GETPIVOTDATA("Undergrad Student Credit Hour  FTE - Old",'FTE Pivot for regular counts'!$A$2,"State","OK","Category",2,"Category2","Four-Year")</f>
        <v>0</v>
      </c>
      <c r="E23" s="167">
        <f>+GETPIVOTDATA("Sum of Old-HS % of Total",'Pivot-HS Student % of Undergrad'!$A$3,"State","OK","Category",3,"Category2","Four-Year")</f>
        <v>2.5990459065465114E-3</v>
      </c>
      <c r="F23" s="186">
        <f>+GETPIVOTDATA("Undergrad Student Credit Hour  FTE - Old",'FTE Pivot for regular counts'!$A$2,"State","OK","Category",3,"Category2","Four-Year")</f>
        <v>19019.8</v>
      </c>
      <c r="G23" s="167">
        <f>+GETPIVOTDATA("Sum of Old-HS % of Total",'Pivot-HS Student % of Undergrad'!$A$3,"State","OK","Category",3,"Category2","Four-Year")</f>
        <v>2.5990459065465114E-3</v>
      </c>
      <c r="H23" s="186">
        <f>+GETPIVOTDATA("Undergrad Student Credit Hour  FTE - Old",'FTE Pivot for regular counts'!$A$2,"State","OK","Category",4,"Category2","Four-Year")</f>
        <v>0</v>
      </c>
      <c r="I23" s="167">
        <f>+GETPIVOTDATA("Sum of Old-HS % of Total",'Pivot-HS Student % of Undergrad'!$A$3,"State","OK","Category",4,"Category2","Four-Year")</f>
        <v>0</v>
      </c>
      <c r="J23" s="186">
        <f>+GETPIVOTDATA("Undergrad Student Credit Hour  FTE - Old",'FTE Pivot for regular counts'!$A$2,"State","OK","Category",5,"Category2","Four-Year")</f>
        <v>19486.933333333334</v>
      </c>
      <c r="K23" s="167">
        <f>+GETPIVOTDATA("Sum of Old-HS % of Total",'Pivot-HS Student % of Undergrad'!$A$3,"State","OK","Category",5,"Category2","Four-Year")</f>
        <v>4.8425611691937159E-3</v>
      </c>
      <c r="L23" s="186">
        <f>+GETPIVOTDATA("Undergrad Student Credit Hour  FTE - Old",'FTE Pivot for regular counts'!$A$2,"State","OK","Category",6,"Category2","Four-Year")</f>
        <v>5631.5</v>
      </c>
      <c r="M23" s="167">
        <f>+GETPIVOTDATA("Sum of Old-HS % of Total",'Pivot-HS Student % of Undergrad'!$A$3,"State","OK","Category",6,"Category2","Four-Year")</f>
        <v>1.2211074610080204E-2</v>
      </c>
      <c r="N23" s="186">
        <f>+GETPIVOTDATA("Undergrad Student Credit Hour  FTE - Old",'FTE Pivot for regular counts'!$A$2,"State","OK","Category2","Four-Year")</f>
        <v>79896.466666666674</v>
      </c>
      <c r="O23" s="167">
        <f>+GETPIVOTDATA("Sum of Old-HS % of Total",'Pivot-HS Student % of Undergrad'!$A$3,"State","OK","Category2","Group1")</f>
        <v>3.0735610335709462E-3</v>
      </c>
    </row>
    <row r="24" spans="1:15" ht="15" customHeight="1">
      <c r="A24" s="1" t="s">
        <v>90</v>
      </c>
      <c r="B24" s="5">
        <f>+GETPIVOTDATA("Undergrad Student Credit Hour  FTE - Old",'FTE Pivot for regular counts'!$A$2,"State","SC","Category",1,"Category2","Four-Year")</f>
        <v>36542.066666666666</v>
      </c>
      <c r="C24" s="211">
        <f>+GETPIVOTDATA("Sum of Old-HS % of Total",'Pivot-HS Student % of Undergrad'!$A$3,"State","SC","Category",1,"Category2","Four-Year")</f>
        <v>3.1326029227026251E-4</v>
      </c>
      <c r="D24" s="186">
        <f>+GETPIVOTDATA("Undergrad Student Credit Hour  FTE - Old",'FTE Pivot for regular counts'!$A$2,"State","SC","Category",2,"Category2","Four-Year")</f>
        <v>0</v>
      </c>
      <c r="E24" s="167">
        <f>+GETPIVOTDATA("Sum of Old-HS % of Total",'Pivot-HS Student % of Undergrad'!$A$3,"State","SC","Category",2,"Category2","Four-Year")</f>
        <v>0</v>
      </c>
      <c r="F24" s="186">
        <f>+GETPIVOTDATA("Undergrad Student Credit Hour  FTE - Old",'FTE Pivot for regular counts'!$A$2,"State","SC","Category",3,"Category2","Four-Year")</f>
        <v>14612.649999999998</v>
      </c>
      <c r="G24" s="167">
        <f>+GETPIVOTDATA("Sum of Old-HS % of Total",'Pivot-HS Student % of Undergrad'!$A$3,"State","SC","Category",3,"Category2","Four-Year")</f>
        <v>3.3327288342634635E-3</v>
      </c>
      <c r="H24" s="186">
        <f>+GETPIVOTDATA("Undergrad Student Credit Hour  FTE - Old",'FTE Pivot for regular counts'!$A$2,"State","SC","Category",4,"Category2","Four-Year")</f>
        <v>2862.5333333333333</v>
      </c>
      <c r="I24" s="167">
        <f>+GETPIVOTDATA("Sum of Old-HS % of Total",'Pivot-HS Student % of Undergrad'!$A$3,"State","SC","Category",4,"Category2","Four-Year")</f>
        <v>8.0348409334389124E-4</v>
      </c>
      <c r="J24" s="186">
        <f>+GETPIVOTDATA("Undergrad Student Credit Hour  FTE - Old",'FTE Pivot for regular counts'!$A$2,"State","SC","Category",5,"Category2","Four-Year")</f>
        <v>15166.1</v>
      </c>
      <c r="K24" s="167">
        <f>+GETPIVOTDATA("Sum of Old-HS % of Total",'Pivot-HS Student % of Undergrad'!$A$3,"State","SC","Category",5,"Category2","Four-Year")</f>
        <v>2.9134013519359404E-3</v>
      </c>
      <c r="L24" s="186">
        <f>+GETPIVOTDATA("Undergrad Student Credit Hour  FTE - Old",'FTE Pivot for regular counts'!$A$2,"State","SC","Category",6,"Category2","Four-Year")</f>
        <v>12055.483333333334</v>
      </c>
      <c r="M24" s="167">
        <f>+GETPIVOTDATA("Sum of Old-HS % of Total",'Pivot-HS Student % of Undergrad'!$A$3,"State","SC","Category",6,"Category2","Four-Year")</f>
        <v>7.3217028489110762E-3</v>
      </c>
      <c r="N24" s="186">
        <f>+GETPIVOTDATA("Undergrad Student Credit Hour  FTE - Old",'FTE Pivot for regular counts'!$A$2,"State","SC","Category2","Four-Year")</f>
        <v>81238.833333333328</v>
      </c>
      <c r="O24" s="167">
        <f>+GETPIVOTDATA("Sum of Old-HS % of Total",'Pivot-HS Student % of Undergrad'!$A$3,"State","SC","Category2","Group1")</f>
        <v>2.8928086341036526E-3</v>
      </c>
    </row>
    <row r="25" spans="1:15" ht="15" customHeight="1">
      <c r="B25" s="5"/>
      <c r="C25" s="211"/>
      <c r="D25" s="186"/>
      <c r="E25" s="167"/>
      <c r="F25" s="186"/>
      <c r="G25" s="167"/>
      <c r="H25" s="186"/>
      <c r="I25" s="167"/>
      <c r="J25" s="186"/>
      <c r="K25" s="167"/>
      <c r="L25" s="186"/>
      <c r="M25" s="167"/>
      <c r="N25" s="186"/>
      <c r="O25" s="167"/>
    </row>
    <row r="26" spans="1:15" ht="15" customHeight="1">
      <c r="A26" s="1" t="s">
        <v>91</v>
      </c>
      <c r="B26" s="5">
        <f>+GETPIVOTDATA("Undergrad Student Credit Hour  FTE - Old",'FTE Pivot for regular counts'!$A$2,"State","TN","Category",1,"Category2","Four-Year")</f>
        <v>34605.699999999997</v>
      </c>
      <c r="C26" s="167">
        <f>+GETPIVOTDATA("Sum of Old-HS % of Total",'Pivot-HS Student % of Undergrad'!$A$3,"State","TN","Category",1,"Category2","Four-Year")</f>
        <v>0</v>
      </c>
      <c r="D26" s="186">
        <f>+GETPIVOTDATA("Undergrad Student Credit Hour  FTE - Old",'FTE Pivot for regular counts'!$A$2,"State","TN","Category",2,"Category2","Four-Year")</f>
        <v>6158.2</v>
      </c>
      <c r="E26" s="167">
        <f>+GETPIVOTDATA("Sum of Old-HS % of Total",'Pivot-HS Student % of Undergrad'!$A$3,"State","TN","Category",2,"Category2","Four-Year")</f>
        <v>0</v>
      </c>
      <c r="F26" s="186">
        <f>+GETPIVOTDATA("Undergrad Student Credit Hour  FTE - Old",'FTE Pivot for regular counts'!$A$2,"State","TN","Category",3,"Category2","Four-Year")</f>
        <v>56515.233333333337</v>
      </c>
      <c r="G26" s="167">
        <f>+GETPIVOTDATA("Sum of Old-HS % of Total",'Pivot-HS Student % of Undergrad'!$A$3,"State","TN","Category",3,"Category2","Four-Year")</f>
        <v>5.2480996090144812E-3</v>
      </c>
      <c r="H26" s="186">
        <f>+GETPIVOTDATA("Undergrad Student Credit Hour  FTE - Old",'FTE Pivot for regular counts'!$A$2,"State","TN","Category",4,"Category2","Four-Year")</f>
        <v>0</v>
      </c>
      <c r="I26" s="167">
        <f>+GETPIVOTDATA("Sum of Old-HS % of Total",'Pivot-HS Student % of Undergrad'!$A$3,"State","TN","Category",4,"Category2","Four-Year")</f>
        <v>0</v>
      </c>
      <c r="J26" s="186">
        <f>+GETPIVOTDATA("Undergrad Student Credit Hour  FTE - Old",'FTE Pivot for regular counts'!$A$2,"State","TN","Category",5,"Category2","Four-Year")</f>
        <v>6796.7</v>
      </c>
      <c r="K26" s="167">
        <f>+GETPIVOTDATA("Sum of Old-HS % of Total",'Pivot-HS Student % of Undergrad'!$A$3,"State","TN","Category",5,"Category2","Four-Year")</f>
        <v>3.076002569874596E-2</v>
      </c>
      <c r="L26" s="186">
        <f>+GETPIVOTDATA("Undergrad Student Credit Hour  FTE - Old",'FTE Pivot for regular counts'!$A$2,"State","TN","Category",6,"Category2","Four-Year")</f>
        <v>0</v>
      </c>
      <c r="M26" s="167">
        <f>+GETPIVOTDATA("Sum of Old-HS % of Total",'Pivot-HS Student % of Undergrad'!$A$3,"State","TN","Category",6,"Category2","Four-Year")</f>
        <v>0</v>
      </c>
      <c r="N26" s="186">
        <f>+GETPIVOTDATA("Undergrad Student Credit Hour  FTE - Old",'FTE Pivot for regular counts'!$A$2,"State","TN","Category2","Four-Year")</f>
        <v>104075.83333333333</v>
      </c>
      <c r="O26" s="167">
        <f>+GETPIVOTDATA("Sum of Old-HS % of Total",'Pivot-HS Student % of Undergrad'!$A$3,"State","TN","Category2","Group1")</f>
        <v>1.700985590348043E-2</v>
      </c>
    </row>
    <row r="27" spans="1:15" ht="15" customHeight="1">
      <c r="A27" s="1" t="s">
        <v>92</v>
      </c>
      <c r="B27" s="5">
        <f>+GETPIVOTDATA("Undergrad Student Credit Hour  FTE - Old",'FTE Pivot for regular counts'!$A$2,"State","TX","Category",1,"Category2","Four-Year")</f>
        <v>170734.5</v>
      </c>
      <c r="C27" s="167">
        <f>+GETPIVOTDATA("Sum of Old-HS % of Total",'Pivot-HS Student % of Undergrad'!$A$3,"State","TX","Category",1,"Category2","Four-Year")</f>
        <v>1.392024849498295E-3</v>
      </c>
      <c r="D27" s="186">
        <f>+GETPIVOTDATA("Undergrad Student Credit Hour  FTE - Old",'FTE Pivot for regular counts'!$A$2,"State","TX","Category",2,"Category2","Four-Year")</f>
        <v>42519</v>
      </c>
      <c r="E27" s="167">
        <f>+GETPIVOTDATA("Sum of Old-HS % of Total",'Pivot-HS Student % of Undergrad'!$A$3,"State","TX","Category",2,"Category2","Four-Year")</f>
        <v>3.6987386031342852E-3</v>
      </c>
      <c r="F27" s="186">
        <f>+GETPIVOTDATA("Undergrad Student Credit Hour  FTE - Old",'FTE Pivot for regular counts'!$A$2,"State","TX","Category",3,"Category2","Four-Year")</f>
        <v>139009.73333333331</v>
      </c>
      <c r="G27" s="167">
        <f>+GETPIVOTDATA("Sum of Old-HS % of Total",'Pivot-HS Student % of Undergrad'!$A$3,"State","TX","Category",3,"Category2","Four-Year")</f>
        <v>7.4747763465963539E-3</v>
      </c>
      <c r="H27" s="186">
        <f>+GETPIVOTDATA("Undergrad Student Credit Hour  FTE - Old",'FTE Pivot for regular counts'!$A$2,"State","TX","Category",4,"Category2","Four-Year")</f>
        <v>2565.4666666666667</v>
      </c>
      <c r="I27" s="211">
        <f>+GETPIVOTDATA("Sum of Old-HS % of Total",'Pivot-HS Student % of Undergrad'!$A$3,"State","TX","Category",4,"Category2","Four-Year")</f>
        <v>1.9489631516033469E-4</v>
      </c>
      <c r="J27" s="186">
        <f>+GETPIVOTDATA("Undergrad Student Credit Hour  FTE - Old",'FTE Pivot for regular counts'!$A$2,"State","TX","Category",5,"Category2","Four-Year")</f>
        <v>9391.1666666666661</v>
      </c>
      <c r="K27" s="167">
        <f>+GETPIVOTDATA("Sum of Old-HS % of Total",'Pivot-HS Student % of Undergrad'!$A$3,"State","TX","Category",5,"Category2","Four-Year")</f>
        <v>1.9273430706160043E-3</v>
      </c>
      <c r="L27" s="186">
        <f>+GETPIVOTDATA("Undergrad Student Credit Hour  FTE - Old",'FTE Pivot for regular counts'!$A$2,"State","TX","Category",6,"Category2","Four-Year")</f>
        <v>1649.3666666666666</v>
      </c>
      <c r="M27" s="167">
        <f>+GETPIVOTDATA("Sum of Old-HS % of Total",'Pivot-HS Student % of Undergrad'!$A$3,"State","TX","Category",6,"Category2","Four-Year")</f>
        <v>0</v>
      </c>
      <c r="N27" s="186">
        <f>+GETPIVOTDATA("Undergrad Student Credit Hour  FTE - Old",'FTE Pivot for regular counts'!$A$2,"State","TX","Category2","Four-Year")</f>
        <v>365869.23333333328</v>
      </c>
      <c r="O27" s="167">
        <f>+GETPIVOTDATA("Sum of Old-HS % of Total",'Pivot-HS Student % of Undergrad'!$A$3,"State","TX","Category2","Group1")</f>
        <v>3.9702709811529199E-3</v>
      </c>
    </row>
    <row r="28" spans="1:15" ht="15" customHeight="1">
      <c r="A28" s="1" t="s">
        <v>93</v>
      </c>
      <c r="B28" s="5">
        <f>+GETPIVOTDATA("Undergrad Student Credit Hour  FTE - Old",'FTE Pivot for regular counts'!$A$2,"State","VA","Category",1,"Category2","Four-Year")</f>
        <v>74656.150000000009</v>
      </c>
      <c r="C28" s="167">
        <f>+GETPIVOTDATA("Sum of Old-HS % of Total",'Pivot-HS Student % of Undergrad'!$A$3,"State","VA","Category",1,"Category2","Four-Year")</f>
        <v>8.5994254994397647E-4</v>
      </c>
      <c r="D28" s="186">
        <f>+GETPIVOTDATA("Undergrad Student Credit Hour  FTE - Old",'FTE Pivot for regular counts'!$A$2,"State","VA","Category",2,"Category2","Four-Year")</f>
        <v>27259.966666666667</v>
      </c>
      <c r="E28" s="167">
        <f>+GETPIVOTDATA("Sum of Old-HS % of Total",'Pivot-HS Student % of Undergrad'!$A$3,"State","VA","Category",2,"Category2","Four-Year")</f>
        <v>5.7960452384999252E-3</v>
      </c>
      <c r="F28" s="186">
        <f>+GETPIVOTDATA("Undergrad Student Credit Hour  FTE - Old",'FTE Pivot for regular counts'!$A$2,"State","VA","Category",3,"Category2","Four-Year")</f>
        <v>22623.1</v>
      </c>
      <c r="G28" s="167">
        <f>+GETPIVOTDATA("Sum of Old-HS % of Total",'Pivot-HS Student % of Undergrad'!$A$3,"State","VA","Category",3,"Category2","Four-Year")</f>
        <v>2.7773971442168993E-3</v>
      </c>
      <c r="H28" s="186">
        <f>+GETPIVOTDATA("Undergrad Student Credit Hour  FTE - Old",'FTE Pivot for regular counts'!$A$2,"State","VA","Category",4,"Category2","Four-Year")</f>
        <v>17083.900000000001</v>
      </c>
      <c r="I28" s="806">
        <f>+GETPIVOTDATA("Sum of Old-HS % of Total",'Pivot-HS Student % of Undergrad'!$A$3,"State","VA","Category",4,"Category2","Four-Year")</f>
        <v>1.7560393118667283E-5</v>
      </c>
      <c r="J28" s="186">
        <f>+GETPIVOTDATA("Undergrad Student Credit Hour  FTE - Old",'FTE Pivot for regular counts'!$A$2,"State","VA","Category",5,"Category2","Four-Year")</f>
        <v>8813.2999999999993</v>
      </c>
      <c r="K28" s="211">
        <f>+GETPIVOTDATA("Sum of Old-HS % of Total",'Pivot-HS Student % of Undergrad'!$A$3,"State","VA","Category",5,"Category2","Four-Year")</f>
        <v>1.3237568977189778E-4</v>
      </c>
      <c r="L28" s="186">
        <f>+GETPIVOTDATA("Undergrad Student Credit Hour  FTE - Old",'FTE Pivot for regular counts'!$A$2,"State","VA","Category",6,"Category2","Four-Year")</f>
        <v>1689.9766666666667</v>
      </c>
      <c r="M28" s="167">
        <f>+GETPIVOTDATA("Sum of Old-HS % of Total",'Pivot-HS Student % of Undergrad'!$A$3,"State","VA","Category",6,"Category2","Four-Year")</f>
        <v>2.8008276248390014E-3</v>
      </c>
      <c r="N28" s="186">
        <f>+GETPIVOTDATA("Undergrad Student Credit Hour  FTE - Old",'FTE Pivot for regular counts'!$A$2,"State","VA","Category2","Four-Year")</f>
        <v>152126.39333333331</v>
      </c>
      <c r="O28" s="167">
        <f>+GETPIVOTDATA("Sum of Old-HS % of Total",'Pivot-HS Student % of Undergrad'!$A$3,"State","VA","Category2","Group1")</f>
        <v>1.9144168671322826E-3</v>
      </c>
    </row>
    <row r="29" spans="1:15" s="25" customFormat="1" ht="15" customHeight="1">
      <c r="A29" s="3" t="s">
        <v>94</v>
      </c>
      <c r="B29" s="6">
        <f>+GETPIVOTDATA("Undergrad Student Credit Hour  FTE - Old",'FTE Pivot for regular counts'!$A$2,"State","WV","Category",1,"Category2","Four-Year")</f>
        <v>21447.833333333332</v>
      </c>
      <c r="C29" s="168">
        <f>+GETPIVOTDATA("Sum of Old-HS % of Total",'Pivot-HS Student % of Undergrad'!$A$3,"State","WV","Category",1,"Category2","Four-Year")</f>
        <v>4.4277976796413005E-3</v>
      </c>
      <c r="D29" s="187">
        <f>+GETPIVOTDATA("Undergrad Student Credit Hour  FTE - Old",'FTE Pivot for regular counts'!$A$2,"State","WV","Category",2,"Category2","Four-Year")</f>
        <v>0</v>
      </c>
      <c r="E29" s="168">
        <f>+GETPIVOTDATA("Sum of Old-HS % of Total",'Pivot-HS Student % of Undergrad'!$A$3,"State","WV","Category",2,"Category2","Four-Year")</f>
        <v>0</v>
      </c>
      <c r="F29" s="187">
        <f>+GETPIVOTDATA("Undergrad Student Credit Hour  FTE - Old",'FTE Pivot for regular counts'!$A$2,"State","WV","Category",3,"Category2","Four-Year")</f>
        <v>8805.7333333333336</v>
      </c>
      <c r="G29" s="168">
        <f>+GETPIVOTDATA("Sum of Old-HS % of Total",'Pivot-HS Student % of Undergrad'!$A$3,"State","WV","Category",3,"Category2","Four-Year")</f>
        <v>1.6197780234089913E-2</v>
      </c>
      <c r="H29" s="187">
        <f>+GETPIVOTDATA("Undergrad Student Credit Hour  FTE - Old",'FTE Pivot for regular counts'!$A$2,"State","WV","Category",4,"Category2","Four-Year")</f>
        <v>0</v>
      </c>
      <c r="I29" s="168">
        <f>+GETPIVOTDATA("Sum of Old-HS % of Total",'Pivot-HS Student % of Undergrad'!$A$3,"State","WV","Category",4,"Category2","Four-Year")</f>
        <v>0</v>
      </c>
      <c r="J29" s="187">
        <f>+GETPIVOTDATA("Undergrad Student Credit Hour  FTE - Old",'FTE Pivot for regular counts'!$A$2,"State","WV","Category",5,"Category2","Four-Year")</f>
        <v>7673.05</v>
      </c>
      <c r="K29" s="240">
        <f>+GETPIVOTDATA("Sum of Old-HS % of Total",'Pivot-HS Student % of Undergrad'!$A$3,"State","WV","Category",5,"Category2","Four-Year")</f>
        <v>3.1712726143232918E-4</v>
      </c>
      <c r="L29" s="187">
        <f>+GETPIVOTDATA("Undergrad Student Credit Hour  FTE - Old",'FTE Pivot for regular counts'!$A$2,"State","WV","Category",6,"Category2","Four-Year")</f>
        <v>12196.146666666666</v>
      </c>
      <c r="M29" s="168">
        <f>+GETPIVOTDATA("Sum of Old-HS % of Total",'Pivot-HS Student % of Undergrad'!$A$3,"Category",6,"Category2","Four-Year")</f>
        <v>1.3711947916204625E-2</v>
      </c>
      <c r="N29" s="187">
        <f>+GETPIVOTDATA("Undergrad Student Credit Hour  FTE - Old",'FTE Pivot for regular counts'!$A$2,"State","WV","Category2","Four-Year")</f>
        <v>50122.763333333336</v>
      </c>
      <c r="O29" s="168">
        <f>+GETPIVOTDATA("Sum of Old-HS % of Total",'Pivot-HS Student % of Undergrad'!$A$3,"State","WV","Category2","Group1")</f>
        <v>1.0081912882031179E-2</v>
      </c>
    </row>
    <row r="30" spans="1:15" ht="23.25" customHeight="1">
      <c r="A30" s="814" t="s">
        <v>1004</v>
      </c>
      <c r="B30" s="815"/>
      <c r="C30" s="815"/>
      <c r="D30" s="815"/>
      <c r="E30" s="815"/>
      <c r="F30" s="815"/>
      <c r="G30" s="815"/>
      <c r="H30" s="815"/>
      <c r="I30" s="816"/>
      <c r="J30" s="816"/>
      <c r="K30" s="816"/>
      <c r="L30" s="816"/>
      <c r="M30" s="816"/>
      <c r="N30" s="816"/>
      <c r="O30" s="816"/>
    </row>
    <row r="31" spans="1:15">
      <c r="A31" s="49"/>
      <c r="B31" s="50"/>
      <c r="C31" s="50"/>
      <c r="D31" s="50"/>
      <c r="E31" s="50"/>
      <c r="F31" s="50"/>
      <c r="G31" s="50"/>
      <c r="H31" s="1"/>
      <c r="J31" s="124"/>
      <c r="K31" s="124"/>
      <c r="L31" s="124"/>
      <c r="M31" s="193"/>
      <c r="N31" s="48"/>
      <c r="O31" s="169" t="s">
        <v>1018</v>
      </c>
    </row>
    <row r="32" spans="1:15" ht="18">
      <c r="A32" s="41" t="s">
        <v>223</v>
      </c>
      <c r="B32" s="43"/>
      <c r="C32" s="43"/>
      <c r="D32" s="43"/>
      <c r="E32" s="43"/>
      <c r="F32" s="51"/>
      <c r="G32" s="43"/>
      <c r="H32" s="110"/>
      <c r="I32" s="50"/>
      <c r="J32" s="124"/>
      <c r="K32" s="124"/>
      <c r="L32" s="124"/>
      <c r="M32" s="193"/>
      <c r="N32" s="48"/>
    </row>
    <row r="33" spans="1:14" ht="15.75">
      <c r="A33" s="43"/>
      <c r="B33" s="43"/>
      <c r="C33" s="43"/>
      <c r="D33" s="43"/>
      <c r="E33" s="43"/>
      <c r="F33" s="43"/>
      <c r="G33" s="43"/>
      <c r="H33" s="110"/>
      <c r="I33" s="50"/>
      <c r="J33" s="124"/>
      <c r="K33" s="124"/>
      <c r="L33" s="124"/>
      <c r="M33" s="193"/>
      <c r="N33" s="48"/>
    </row>
    <row r="34" spans="1:14" ht="15.75">
      <c r="A34" s="43" t="s">
        <v>44</v>
      </c>
      <c r="B34" s="43"/>
      <c r="C34" s="43"/>
      <c r="D34" s="43"/>
      <c r="E34" s="43"/>
      <c r="F34" s="43"/>
      <c r="G34" s="43"/>
      <c r="H34" s="110"/>
      <c r="I34" s="50"/>
      <c r="J34" s="124"/>
      <c r="K34" s="124"/>
      <c r="L34" s="124"/>
      <c r="M34" s="193"/>
      <c r="N34" s="48"/>
    </row>
    <row r="35" spans="1:14" ht="15.75">
      <c r="A35" s="43" t="s">
        <v>1003</v>
      </c>
      <c r="B35" s="43"/>
      <c r="C35" s="43"/>
      <c r="D35" s="43"/>
      <c r="E35" s="43"/>
      <c r="F35" s="43"/>
      <c r="G35" s="43"/>
      <c r="H35" s="110"/>
    </row>
    <row r="37" spans="1:14" ht="15" customHeight="1">
      <c r="A37" s="52"/>
      <c r="B37" s="52" t="s">
        <v>77</v>
      </c>
      <c r="C37" s="52"/>
      <c r="D37" s="52"/>
      <c r="E37" s="52"/>
      <c r="F37" s="52"/>
      <c r="G37" s="52"/>
      <c r="H37" s="111"/>
    </row>
    <row r="38" spans="1:14" ht="15" customHeight="1">
      <c r="A38" s="53"/>
      <c r="B38" s="46">
        <v>1</v>
      </c>
      <c r="C38" s="46">
        <v>2</v>
      </c>
      <c r="D38" s="46">
        <v>3</v>
      </c>
      <c r="E38" s="46">
        <v>4</v>
      </c>
      <c r="F38" s="46">
        <v>5</v>
      </c>
      <c r="G38" s="54">
        <v>6</v>
      </c>
      <c r="H38" s="93" t="s">
        <v>41</v>
      </c>
    </row>
    <row r="39" spans="1:14" ht="15" customHeight="1">
      <c r="A39" s="1" t="s">
        <v>79</v>
      </c>
      <c r="B39" s="11">
        <f>+GETPIVOTDATA("Graduate FTE - Old",'FTE Pivot for regular counts'!$A$2,"Category",1,"Category2","Four-Year")</f>
        <v>216985.34583333335</v>
      </c>
      <c r="C39" s="11">
        <f>+GETPIVOTDATA("Graduate FTE - Old",'FTE Pivot for regular counts'!$A$2,"Category",2,"Category2","Four-Year")</f>
        <v>46010.909722222226</v>
      </c>
      <c r="D39" s="11">
        <f>+GETPIVOTDATA("Graduate FTE - Old",'FTE Pivot for regular counts'!$A$2,"Category",3,"Category2","Four-Year")</f>
        <v>86625.541666666672</v>
      </c>
      <c r="E39" s="11">
        <f>+GETPIVOTDATA("Graduate FTE - Old",'FTE Pivot for regular counts'!$A$2,"Category",4,"Category2","Four-Year")</f>
        <v>24098.416666666672</v>
      </c>
      <c r="F39" s="11">
        <f>+GETPIVOTDATA("Graduate FTE - Old",'FTE Pivot for regular counts'!$A$2,"Category",5,"Category2","Four-Year")</f>
        <v>10376.291666666666</v>
      </c>
      <c r="G39" s="12">
        <f>+GETPIVOTDATA("Graduate FTE - Old",'FTE Pivot for regular counts'!$A$2,"Category",6,"Category2","Four-Year")</f>
        <v>661.04166666666663</v>
      </c>
      <c r="H39" s="112">
        <f>+GETPIVOTDATA("Graduate FTE - Old",'FTE Pivot for regular counts'!$A$2,"Category2","Four-Year")</f>
        <v>384757.54722222226</v>
      </c>
    </row>
    <row r="40" spans="1:14" ht="15" customHeight="1">
      <c r="B40" s="11"/>
      <c r="C40" s="11"/>
      <c r="D40" s="11"/>
      <c r="E40" s="11"/>
      <c r="F40" s="11"/>
      <c r="G40" s="12"/>
      <c r="H40" s="112"/>
    </row>
    <row r="41" spans="1:14" ht="15" customHeight="1">
      <c r="A41" s="1" t="s">
        <v>80</v>
      </c>
      <c r="B41" s="33">
        <f>+GETPIVOTDATA("Graduate FTE - Old",'FTE Pivot for regular counts'!$A$2,"State","AL","Category",1,"Category2","Four-Year")</f>
        <v>9809.0416666666661</v>
      </c>
      <c r="C41" s="33">
        <f>+GETPIVOTDATA("Graduate FTE - Old",'FTE Pivot for regular counts'!$A$2,"State","AL","Category",2,"Category2","Four-Year")</f>
        <v>914.66666666666663</v>
      </c>
      <c r="D41" s="33">
        <f>+GETPIVOTDATA("Graduate FTE - Old",'FTE Pivot for regular counts'!$A$2,"State","AL","Category",3,"Category2","Four-Year")</f>
        <v>4421.041666666667</v>
      </c>
      <c r="E41" s="33">
        <f>+GETPIVOTDATA("Graduate FTE - Old",'FTE Pivot for regular counts'!$A$2,"State","AL","Category",4,"Category2","Four-Year")</f>
        <v>2029.375</v>
      </c>
      <c r="F41" s="33">
        <f>+GETPIVOTDATA("Graduate FTE - Old",'FTE Pivot for regular counts'!$A$2,"State","AL","Category",5,"Category2","Four-Year")</f>
        <v>2449.1666666666665</v>
      </c>
      <c r="G41" s="12">
        <f>+GETPIVOTDATA("Graduate FTE - Old",'FTE Pivot for regular counts'!$A$2,"State","AL","Category",6,"Category2","Four-Year")</f>
        <v>0</v>
      </c>
      <c r="H41" s="113">
        <f>+GETPIVOTDATA("Graduate FTE - Old",'FTE Pivot for regular counts'!$A$2,"State","AL","Category2","Four-Year")</f>
        <v>19623.291666666668</v>
      </c>
    </row>
    <row r="42" spans="1:14" ht="15" customHeight="1">
      <c r="A42" s="4" t="s">
        <v>81</v>
      </c>
      <c r="B42" s="33">
        <f>+GETPIVOTDATA("Graduate FTE - Old",'FTE Pivot for regular counts'!$A$2,"State","AR","Category",1,"Category2","Four-Year")</f>
        <v>3149.4583333333335</v>
      </c>
      <c r="C42" s="33">
        <f>+GETPIVOTDATA("Graduate FTE - Old",'FTE Pivot for regular counts'!$A$2,"State","AR","Category",2,"Category2","Four-Year")</f>
        <v>0</v>
      </c>
      <c r="D42" s="33">
        <f>+GETPIVOTDATA("Graduate FTE - Old",'FTE Pivot for regular counts'!$A$2,"State","AR","Category",3,"Category2","Four-Year")</f>
        <v>6408.208333333333</v>
      </c>
      <c r="E42" s="33">
        <f>+GETPIVOTDATA("Graduate FTE - Old",'FTE Pivot for regular counts'!$A$2,"State","AR","Category",4,"Category2","Four-Year")</f>
        <v>1182.0833333333333</v>
      </c>
      <c r="F42" s="33">
        <f>+GETPIVOTDATA("Graduate FTE - Old",'FTE Pivot for regular counts'!$A$2,"State","AR","Category",5,"Category2","Four-Year")</f>
        <v>107.95833333333333</v>
      </c>
      <c r="G42" s="12">
        <f>+GETPIVOTDATA("Graduate FTE - Old",'FTE Pivot for regular counts'!$A$2,"State","AR","Category",6,"Category2","Four-Year")</f>
        <v>88.833333333333329</v>
      </c>
      <c r="H42" s="113">
        <f>+GETPIVOTDATA("Graduate FTE - Old",'FTE Pivot for regular counts'!$A$2,"State","AR","Category2","Four-Year")</f>
        <v>10936.541666666668</v>
      </c>
    </row>
    <row r="43" spans="1:14" ht="15" customHeight="1">
      <c r="A43" s="1" t="s">
        <v>118</v>
      </c>
      <c r="B43" s="33">
        <f>+GETPIVOTDATA("Graduate FTE - Old",'FTE Pivot for regular counts'!$A$2,"State","DE","Category",1,"Category2","Four-Year")</f>
        <v>2271.875</v>
      </c>
      <c r="C43" s="33">
        <f>+GETPIVOTDATA("Graduate FTE - Old",'FTE Pivot for regular counts'!$A$2,"State","DE","Category",2,"Category2","Four-Year")</f>
        <v>0</v>
      </c>
      <c r="D43" s="33">
        <f>+GETPIVOTDATA("Graduate FTE - Old",'FTE Pivot for regular counts'!$A$2,"State","DE","Category",3,"Category2","Four-Year")</f>
        <v>0</v>
      </c>
      <c r="E43" s="33">
        <f>+GETPIVOTDATA("Graduate FTE - Old",'FTE Pivot for regular counts'!$A$2,"State","DE","Category",4,"Category2","Four-Year")</f>
        <v>288.625</v>
      </c>
      <c r="F43" s="33">
        <f>+GETPIVOTDATA("Graduate FTE - Old",'FTE Pivot for regular counts'!$A$2,"State","DE","Category",5,"Category2","Four-Year")</f>
        <v>0</v>
      </c>
      <c r="G43" s="12">
        <f>+GETPIVOTDATA("Graduate FTE - Old",'FTE Pivot for regular counts'!$A$2,"State","DE","Category",6,"Category2","Four-Year")</f>
        <v>0</v>
      </c>
      <c r="H43" s="113">
        <f>+GETPIVOTDATA("Graduate FTE - Old",'FTE Pivot for regular counts'!$A$2,"State","DE","Category2","Four-Year")</f>
        <v>2560.5</v>
      </c>
      <c r="N43" s="95"/>
    </row>
    <row r="44" spans="1:14" ht="15" customHeight="1">
      <c r="A44" s="1" t="s">
        <v>82</v>
      </c>
      <c r="B44" s="33">
        <f>+GETPIVOTDATA("Graduate FTE - Old",'FTE Pivot for regular counts'!$A$2,"State","FL","Category",1,"Category2","Four-Year")</f>
        <v>43555.916666666672</v>
      </c>
      <c r="C44" s="33">
        <f>+GETPIVOTDATA("Graduate FTE - Old",'FTE Pivot for regular counts'!$A$2,"State","FL","Category",2,"Category2","Four-Year")</f>
        <v>3367.4583333333335</v>
      </c>
      <c r="D44" s="33">
        <f>+GETPIVOTDATA("Graduate FTE - Old",'FTE Pivot for regular counts'!$A$2,"State","FL","Category",3,"Category2","Four-Year")</f>
        <v>4760.083333333333</v>
      </c>
      <c r="E44" s="33">
        <f>+GETPIVOTDATA("Graduate FTE - Old",'FTE Pivot for regular counts'!$A$2,"State","FL","Category",4,"Category2","Four-Year")</f>
        <v>1003.25</v>
      </c>
      <c r="F44" s="33">
        <f>+GETPIVOTDATA("Graduate FTE - Old",'FTE Pivot for regular counts'!$A$2,"State","FL","Category",5,"Category2","Four-Year")</f>
        <v>0</v>
      </c>
      <c r="G44" s="12">
        <f>+GETPIVOTDATA("Graduate FTE - Old",'FTE Pivot for regular counts'!$A$2,"State","FL","Category",6,"Category2","Four-Year")</f>
        <v>0</v>
      </c>
      <c r="H44" s="113">
        <f>+GETPIVOTDATA("Graduate FTE - Old",'FTE Pivot for regular counts'!$A$2,"State","FL","Category2","Four-Year")</f>
        <v>52686.708333333343</v>
      </c>
    </row>
    <row r="45" spans="1:14" ht="15" customHeight="1">
      <c r="B45" s="33"/>
      <c r="C45" s="33"/>
      <c r="D45" s="33"/>
      <c r="E45" s="33"/>
      <c r="F45" s="33"/>
      <c r="G45" s="12"/>
      <c r="H45" s="113"/>
    </row>
    <row r="46" spans="1:14" ht="15" customHeight="1">
      <c r="A46" s="1" t="s">
        <v>83</v>
      </c>
      <c r="B46" s="33">
        <f>+GETPIVOTDATA("Graduate FTE - Old",'FTE Pivot for regular counts'!$A$2,"State","GA","Category",1,"Category2","Four-Year")</f>
        <v>19422.833333333332</v>
      </c>
      <c r="C46" s="33">
        <f>+GETPIVOTDATA("Graduate FTE - Old",'FTE Pivot for regular counts'!$A$2,"State","GA","Category",2,"Category2","Four-Year")</f>
        <v>9661.3125</v>
      </c>
      <c r="D46" s="33">
        <f>+GETPIVOTDATA("Graduate FTE - Old",'FTE Pivot for regular counts'!$A$2,"State","GA","Category",3,"Category2","Four-Year")</f>
        <v>4561.5416666666661</v>
      </c>
      <c r="E46" s="33">
        <f>+GETPIVOTDATA("Graduate FTE - Old",'FTE Pivot for regular counts'!$A$2,"State","GA","Category",4,"Category2","Four-Year")</f>
        <v>4282.041666666667</v>
      </c>
      <c r="F46" s="33">
        <f>+GETPIVOTDATA("Graduate FTE - Old",'FTE Pivot for regular counts'!$A$2,"State","GA","Category",5,"Category2","Four-Year")</f>
        <v>1886.4583333333333</v>
      </c>
      <c r="G46" s="12">
        <f>+GETPIVOTDATA("Graduate FTE - Old",'FTE Pivot for regular counts'!$A$2,"State","GA","Category",6,"Category2","Four-Year")</f>
        <v>0</v>
      </c>
      <c r="H46" s="113">
        <f>+GETPIVOTDATA("Graduate FTE - Old",'FTE Pivot for regular counts'!$A$2,"State","GA","Category2","Four-Year")</f>
        <v>39814.1875</v>
      </c>
    </row>
    <row r="47" spans="1:14" ht="15" customHeight="1">
      <c r="A47" s="1" t="s">
        <v>84</v>
      </c>
      <c r="B47" s="33">
        <f>+GETPIVOTDATA("Graduate FTE - Old",'FTE Pivot for regular counts'!$A$2,"State","KY","Category",1,"Category2","Four-Year")</f>
        <v>6851.75</v>
      </c>
      <c r="C47" s="33">
        <f>+GETPIVOTDATA("Graduate FTE - Old",'FTE Pivot for regular counts'!$A$2,"State","KY","Category",2,"Category2","Four-Year")</f>
        <v>0</v>
      </c>
      <c r="D47" s="33">
        <f>+GETPIVOTDATA("Graduate FTE - Old",'FTE Pivot for regular counts'!$A$2,"State","KY","Category",3,"Category2","Four-Year")</f>
        <v>5971.979166666667</v>
      </c>
      <c r="E47" s="33">
        <f>+GETPIVOTDATA("Graduate FTE - Old",'FTE Pivot for regular counts'!$A$2,"State","KY","Category",4,"Category2","Four-Year")</f>
        <v>1821.5</v>
      </c>
      <c r="F47" s="33">
        <f>+GETPIVOTDATA("Graduate FTE - Old",'FTE Pivot for regular counts'!$A$2,"State","KY","Category",5,"Category2","Four-Year")</f>
        <v>0</v>
      </c>
      <c r="G47" s="12">
        <f>+GETPIVOTDATA("Graduate FTE - Old",'FTE Pivot for regular counts'!$A$2,"State","KY","Category",6,"Category2","Four-Year")</f>
        <v>0</v>
      </c>
      <c r="H47" s="113">
        <f>+GETPIVOTDATA("Graduate FTE - Old",'FTE Pivot for regular counts'!$A$2,"State","KY","Category2","Four-Year")</f>
        <v>14645.229166666668</v>
      </c>
    </row>
    <row r="48" spans="1:14" ht="15" customHeight="1">
      <c r="A48" s="1" t="s">
        <v>85</v>
      </c>
      <c r="B48" s="33">
        <f>+GETPIVOTDATA("Graduate FTE - Old",'FTE Pivot for regular counts'!$A$2,"State","LA","Category",1,"Category2","Four-Year")</f>
        <v>4831</v>
      </c>
      <c r="C48" s="33">
        <f>+GETPIVOTDATA("Graduate FTE - Old",'FTE Pivot for regular counts'!$A$2,"State","LA","Category",2,"Category2","Four-Year")</f>
        <v>3919.1805555555557</v>
      </c>
      <c r="D48" s="33">
        <f>+GETPIVOTDATA("Graduate FTE - Old",'FTE Pivot for regular counts'!$A$2,"State","LA","Category",3,"Category2","Four-Year")</f>
        <v>3870.458333333333</v>
      </c>
      <c r="E48" s="33">
        <f>+GETPIVOTDATA("Graduate FTE - Old",'FTE Pivot for regular counts'!$A$2,"State","LA","Category",4,"Category2","Four-Year")</f>
        <v>3024.666666666667</v>
      </c>
      <c r="F48" s="33">
        <f>+GETPIVOTDATA("Graduate FTE - Old",'FTE Pivot for regular counts'!$A$2,"State","LA","Category",5,"Category2","Four-Year")</f>
        <v>0</v>
      </c>
      <c r="G48" s="12">
        <f>+GETPIVOTDATA("Graduate FTE - Old",'FTE Pivot for regular counts'!$A$2,"State","LA","Category",6,"Category2","Four-Year")</f>
        <v>0</v>
      </c>
      <c r="H48" s="113">
        <f>+GETPIVOTDATA("Graduate FTE - Old",'FTE Pivot for regular counts'!$A$2,"State","LA","Category2","Four-Year")</f>
        <v>15645.305555555555</v>
      </c>
    </row>
    <row r="49" spans="1:13" ht="15" customHeight="1">
      <c r="A49" s="1" t="s">
        <v>86</v>
      </c>
      <c r="B49" s="33">
        <f>+GETPIVOTDATA("Graduate FTE - Old",'FTE Pivot for regular counts'!$A$2,"State","MD","Category",1,"Category2","Four-Year")</f>
        <v>6522.6875</v>
      </c>
      <c r="C49" s="33">
        <f>+GETPIVOTDATA("Graduate FTE - Old",'FTE Pivot for regular counts'!$A$2,"State","MD","Category",2,"Category2","Four-Year")</f>
        <v>2199.875</v>
      </c>
      <c r="D49" s="33">
        <f>+GETPIVOTDATA("Graduate FTE - Old",'FTE Pivot for regular counts'!$A$2,"State","MD","Category",3,"Category2","Four-Year")</f>
        <v>2422.1458333333335</v>
      </c>
      <c r="E49" s="33">
        <f>+GETPIVOTDATA("Graduate FTE - Old",'FTE Pivot for regular counts'!$A$2,"State","MD","Category",4,"Category2","Four-Year")</f>
        <v>4687.4166666666661</v>
      </c>
      <c r="F49" s="33">
        <f>+GETPIVOTDATA("Graduate FTE - Old",'FTE Pivot for regular counts'!$A$2,"State","MD","Category",5,"Category2","Four-Year")</f>
        <v>0</v>
      </c>
      <c r="G49" s="12">
        <f>+GETPIVOTDATA("Graduate FTE - Old",'FTE Pivot for regular counts'!$A$2,"State","MD","Category",6,"Category2","Four-Year")</f>
        <v>80.708333333333329</v>
      </c>
      <c r="H49" s="113">
        <f>+GETPIVOTDATA("Graduate FTE - Old",'FTE Pivot for regular counts'!$A$2,"State","MD","Category2","Four-Year")</f>
        <v>15912.833333333334</v>
      </c>
    </row>
    <row r="50" spans="1:13" ht="15" customHeight="1">
      <c r="B50" s="33"/>
      <c r="C50" s="33"/>
      <c r="D50" s="33"/>
      <c r="E50" s="33"/>
      <c r="F50" s="33"/>
      <c r="G50" s="12"/>
      <c r="H50" s="113"/>
    </row>
    <row r="51" spans="1:13" ht="15" customHeight="1">
      <c r="A51" s="1" t="s">
        <v>87</v>
      </c>
      <c r="B51" s="33">
        <f>+GETPIVOTDATA("Graduate FTE - Old",'FTE Pivot for regular counts'!$A$2,"State","MS","Category",1,"Category2","Four-Year")</f>
        <v>5171.0416666666661</v>
      </c>
      <c r="C51" s="33">
        <f>+GETPIVOTDATA("Graduate FTE - Old",'FTE Pivot for regular counts'!$A$2,"State","MS","Category",2,"Category2","Four-Year")</f>
        <v>3656.791666666667</v>
      </c>
      <c r="D51" s="33">
        <f>+GETPIVOTDATA("Graduate FTE - Old",'FTE Pivot for regular counts'!$A$2,"State","MS","Category",3,"Category2","Four-Year")</f>
        <v>0</v>
      </c>
      <c r="E51" s="33">
        <f>+GETPIVOTDATA("Graduate FTE - Old",'FTE Pivot for regular counts'!$A$2,"State","MS","Category",4,"Category2","Four-Year")</f>
        <v>1596.2500000000002</v>
      </c>
      <c r="F51" s="33">
        <f>+GETPIVOTDATA("Graduate FTE - Old",'FTE Pivot for regular counts'!$A$2,"State","MS","Category",5,"Category2","Four-Year")</f>
        <v>187.54166666666666</v>
      </c>
      <c r="G51" s="12">
        <f>+GETPIVOTDATA("Graduate FTE - Old",'FTE Pivot for regular counts'!$A$2,"State","MS","Category",6,"Category2","Four-Year")</f>
        <v>0</v>
      </c>
      <c r="H51" s="113">
        <f>+GETPIVOTDATA("Graduate FTE - Old",'FTE Pivot for regular counts'!$A$2,"State","MS","Category2","Four-Year")</f>
        <v>10611.624999999998</v>
      </c>
    </row>
    <row r="52" spans="1:13" ht="15" customHeight="1">
      <c r="A52" s="1" t="s">
        <v>88</v>
      </c>
      <c r="B52" s="33">
        <f>+GETPIVOTDATA("Graduate FTE - Old",'FTE Pivot for regular counts'!$A$2,"State","NC","Category",1,"Category2","Four-Year")</f>
        <v>16616.375</v>
      </c>
      <c r="C52" s="33">
        <f>+GETPIVOTDATA("Graduate FTE - Old",'FTE Pivot for regular counts'!$A$2,"State","NC","Category",2,"Category2","Four-Year")</f>
        <v>3122.3333333333335</v>
      </c>
      <c r="D52" s="33">
        <f>+GETPIVOTDATA("Graduate FTE - Old",'FTE Pivot for regular counts'!$A$2,"State","NC","Category",3,"Category2","Four-Year")</f>
        <v>11617.291666666666</v>
      </c>
      <c r="E52" s="33">
        <f>+GETPIVOTDATA("Graduate FTE - Old",'FTE Pivot for regular counts'!$A$2,"State","NC","Category",4,"Category2","Four-Year")</f>
        <v>394.625</v>
      </c>
      <c r="F52" s="33">
        <f>+GETPIVOTDATA("Graduate FTE - Old",'FTE Pivot for regular counts'!$A$2,"State","NC","Category",5,"Category2","Four-Year")</f>
        <v>911.5</v>
      </c>
      <c r="G52" s="12">
        <f>+GETPIVOTDATA("Graduate FTE - Old",'FTE Pivot for regular counts'!$A$2,"State","NC","Category",6,"Category2","Four-Year")</f>
        <v>63.291666666666671</v>
      </c>
      <c r="H52" s="113">
        <f>+GETPIVOTDATA("Graduate FTE - Old",'FTE Pivot for regular counts'!$A$2,"State","NC","Category2","Four-Year")</f>
        <v>32725.416666666668</v>
      </c>
    </row>
    <row r="53" spans="1:13" ht="15" customHeight="1">
      <c r="A53" s="1" t="s">
        <v>89</v>
      </c>
      <c r="B53" s="33">
        <f>+GETPIVOTDATA("Graduate FTE - Old",'FTE Pivot for regular counts'!$A$2,"State","OK","Category",1,"Category2","Four-Year")</f>
        <v>6982.75</v>
      </c>
      <c r="C53" s="33">
        <f>+GETPIVOTDATA("Graduate FTE - Old",'FTE Pivot for regular counts'!$A$2,"State","OK","Category",2,"Category2","Four-Year")</f>
        <v>0</v>
      </c>
      <c r="D53" s="33">
        <f>+GETPIVOTDATA("Graduate FTE - Old",'FTE Pivot for regular counts'!$A$2,"State","OK","Category",3,"Category2","Four-Year")</f>
        <v>2002.0833333333335</v>
      </c>
      <c r="E53" s="33">
        <f>+GETPIVOTDATA("Graduate FTE - Old",'FTE Pivot for regular counts'!$A$2,"State","OK","Category",4,"Category2","Four-Year")</f>
        <v>0</v>
      </c>
      <c r="F53" s="33">
        <f>+GETPIVOTDATA("Graduate FTE - Old",'FTE Pivot for regular counts'!$A$2,"State","OK","Category",5,"Category2","Four-Year")</f>
        <v>2236.125</v>
      </c>
      <c r="G53" s="12">
        <f>+GETPIVOTDATA("Graduate FTE - Old",'FTE Pivot for regular counts'!$A$2,"State","OK","Category",6,"Category2","Four-Year")</f>
        <v>0</v>
      </c>
      <c r="H53" s="113">
        <f>+GETPIVOTDATA("Graduate FTE - Old",'FTE Pivot for regular counts'!$A$2,"State","OK","Category2","Four-Year")</f>
        <v>11220.958333333334</v>
      </c>
    </row>
    <row r="54" spans="1:13" ht="15" customHeight="1">
      <c r="A54" s="1" t="s">
        <v>90</v>
      </c>
      <c r="B54" s="33">
        <f>+GETPIVOTDATA("Graduate FTE - Old",'FTE Pivot for regular counts'!$A$2,"State","SC","Category",1,"Category2","Four-Year")</f>
        <v>7931.1666666666661</v>
      </c>
      <c r="C54" s="33">
        <f>+GETPIVOTDATA("Graduate FTE - Old",'FTE Pivot for regular counts'!$A$2,"State","SC","Category",2,"Category2","Four-Year")</f>
        <v>0</v>
      </c>
      <c r="D54" s="33">
        <f>+GETPIVOTDATA("Graduate FTE - Old",'FTE Pivot for regular counts'!$A$2,"State","SC","Category",3,"Category2","Four-Year")</f>
        <v>1516.125</v>
      </c>
      <c r="E54" s="33">
        <f>+GETPIVOTDATA("Graduate FTE - Old",'FTE Pivot for regular counts'!$A$2,"State","SC","Category",4,"Category2","Four-Year")</f>
        <v>645.91666666666663</v>
      </c>
      <c r="F54" s="33">
        <f>+GETPIVOTDATA("Graduate FTE - Old",'FTE Pivot for regular counts'!$A$2,"State","SC","Category",5,"Category2","Four-Year")</f>
        <v>1043.0833333333333</v>
      </c>
      <c r="G54" s="12">
        <f>+GETPIVOTDATA("Graduate FTE - Old",'FTE Pivot for regular counts'!$A$2,"State","SC","Category",6,"Category2","Four-Year")</f>
        <v>183.20833333333331</v>
      </c>
      <c r="H54" s="113">
        <f>+GETPIVOTDATA("Graduate FTE - Old",'FTE Pivot for regular counts'!$A$2,"State","SC","Category2","Four-Year")</f>
        <v>11319.5</v>
      </c>
    </row>
    <row r="55" spans="1:13" ht="15" customHeight="1">
      <c r="B55" s="33"/>
      <c r="C55" s="33"/>
      <c r="D55" s="33"/>
      <c r="E55" s="33"/>
      <c r="F55" s="33"/>
      <c r="G55" s="12"/>
      <c r="H55" s="113"/>
    </row>
    <row r="56" spans="1:13" ht="15" customHeight="1">
      <c r="A56" s="1" t="s">
        <v>91</v>
      </c>
      <c r="B56" s="33">
        <f>+GETPIVOTDATA("Graduate FTE - Old",'FTE Pivot for regular counts'!$A$2,"State","TN","Category",1,"Category2","Four-Year")</f>
        <v>8665.9166666666679</v>
      </c>
      <c r="C56" s="33">
        <f>+GETPIVOTDATA("Graduate FTE - Old",'FTE Pivot for regular counts'!$A$2,"State","TN","Category",2,"Category2","Four-Year")</f>
        <v>1477.7083333333333</v>
      </c>
      <c r="D56" s="33">
        <f>+GETPIVOTDATA("Graduate FTE - Old",'FTE Pivot for regular counts'!$A$2,"State","TN","Category",3,"Category2","Four-Year")</f>
        <v>6609.1666666666661</v>
      </c>
      <c r="E56" s="33">
        <f>+GETPIVOTDATA("Graduate FTE - Old",'FTE Pivot for regular counts'!$A$2,"State","TN","Category",4,"Category2","Four-Year")</f>
        <v>0</v>
      </c>
      <c r="F56" s="33">
        <f>+GETPIVOTDATA("Graduate FTE - Old",'FTE Pivot for regular counts'!$A$2,"State","TN","Category",5,"Category2","Four-Year")</f>
        <v>349.79166666666669</v>
      </c>
      <c r="G56" s="12">
        <f>+GETPIVOTDATA("Graduate FTE - Old",'FTE Pivot for regular counts'!$A$2,"State","TN","Category",6,"Category2","Four-Year")</f>
        <v>0</v>
      </c>
      <c r="H56" s="113">
        <f>+GETPIVOTDATA("Graduate FTE - Old",'FTE Pivot for regular counts'!$A$2,"State","TN","Category2","Four-Year")</f>
        <v>17102.583333333336</v>
      </c>
    </row>
    <row r="57" spans="1:13" ht="15" customHeight="1">
      <c r="A57" s="1" t="s">
        <v>92</v>
      </c>
      <c r="B57" s="33">
        <f>+GETPIVOTDATA("Graduate FTE - Old",'FTE Pivot for regular counts'!$A$2,"State","TX","Category",1,"Category2","Four-Year")</f>
        <v>45519.5</v>
      </c>
      <c r="C57" s="33">
        <f>+GETPIVOTDATA("Graduate FTE - Old",'FTE Pivot for regular counts'!$A$2,"State","TX","Category",2,"Category2","Four-Year")</f>
        <v>9297.25</v>
      </c>
      <c r="D57" s="33">
        <f>+GETPIVOTDATA("Graduate FTE - Old",'FTE Pivot for regular counts'!$A$2,"State","TX","Category",3,"Category2","Four-Year")</f>
        <v>27992</v>
      </c>
      <c r="E57" s="33">
        <f>+GETPIVOTDATA("Graduate FTE - Old",'FTE Pivot for regular counts'!$A$2,"State","TX","Category",4,"Category2","Four-Year")</f>
        <v>1537.7916666666667</v>
      </c>
      <c r="F57" s="33">
        <f>+GETPIVOTDATA("Graduate FTE - Old",'FTE Pivot for regular counts'!$A$2,"State","TX","Category",5,"Category2","Four-Year")</f>
        <v>234.375</v>
      </c>
      <c r="G57" s="12">
        <f>+GETPIVOTDATA("Graduate FTE - Old",'FTE Pivot for regular counts'!$A$2,"State","TX","Category",6,"Category2","Four-Year")</f>
        <v>41.5</v>
      </c>
      <c r="H57" s="113">
        <f>+GETPIVOTDATA("Graduate FTE - Old",'FTE Pivot for regular counts'!$A$2,"State","TX","Category2","Four-Year")</f>
        <v>84622.416666666672</v>
      </c>
    </row>
    <row r="58" spans="1:13" ht="15" customHeight="1">
      <c r="A58" s="1" t="s">
        <v>93</v>
      </c>
      <c r="B58" s="33">
        <f>+GETPIVOTDATA("Graduate FTE - Old",'FTE Pivot for regular counts'!$A$2,"State","VA","Category",1,"Category2","Four-Year")</f>
        <v>24714.199999999997</v>
      </c>
      <c r="C58" s="33">
        <f>+GETPIVOTDATA("Graduate FTE - Old",'FTE Pivot for regular counts'!$A$2,"State","VA","Category",2,"Category2","Four-Year")</f>
        <v>8394.3333333333339</v>
      </c>
      <c r="D58" s="33">
        <f>+GETPIVOTDATA("Graduate FTE - Old",'FTE Pivot for regular counts'!$A$2,"State","VA","Category",3,"Category2","Four-Year")</f>
        <v>1995.75</v>
      </c>
      <c r="E58" s="33">
        <f>+GETPIVOTDATA("Graduate FTE - Old",'FTE Pivot for regular counts'!$A$2,"State","VA","Category",4,"Category2","Four-Year")</f>
        <v>1604.875</v>
      </c>
      <c r="F58" s="33">
        <f>+GETPIVOTDATA("Graduate FTE - Old",'FTE Pivot for regular counts'!$A$2,"State","VA","Category",5,"Category2","Four-Year")</f>
        <v>654.125</v>
      </c>
      <c r="G58" s="12">
        <f>+GETPIVOTDATA("Graduate FTE - Old",'FTE Pivot for regular counts'!$A$2,"State","VA","Category",6,"Category2","Four-Year")</f>
        <v>0</v>
      </c>
      <c r="H58" s="113">
        <f>+GETPIVOTDATA("Graduate FTE - Old",'FTE Pivot for regular counts'!$A$2,"State","VA","Category2","Four-Year")</f>
        <v>37363.283333333333</v>
      </c>
    </row>
    <row r="59" spans="1:13" ht="15" customHeight="1">
      <c r="A59" s="3" t="s">
        <v>94</v>
      </c>
      <c r="B59" s="13">
        <f>+GETPIVOTDATA("Graduate FTE - Old",'FTE Pivot for regular counts'!$A$2,"State","WV","Category",1,"Category2","Four-Year")</f>
        <v>4969.833333333333</v>
      </c>
      <c r="C59" s="13">
        <f>+GETPIVOTDATA("Graduate FTE - Old",'FTE Pivot for regular counts'!$A$2,"State","WV","Category",2,"Category2","Four-Year")</f>
        <v>0</v>
      </c>
      <c r="D59" s="13">
        <f>+GETPIVOTDATA("Graduate FTE - Old",'FTE Pivot for regular counts'!$A$2,"State","WV","Category",3,"Category2","Four-Year")</f>
        <v>2477.6666666666665</v>
      </c>
      <c r="E59" s="13">
        <f>+GETPIVOTDATA("Graduate FTE - Old",'FTE Pivot for regular counts'!$A$2,"State","WV","Category",4,"Category2","Four-Year")</f>
        <v>0</v>
      </c>
      <c r="F59" s="13">
        <f>+GETPIVOTDATA("Graduate FTE - Old",'FTE Pivot for regular counts'!$A$2,"State","WV","Category",5,"Category2","Four-Year")</f>
        <v>316.16666666666669</v>
      </c>
      <c r="G59" s="14">
        <f>+GETPIVOTDATA("Graduate FTE - Old",'FTE Pivot for regular counts'!$A$2,"State","WV","Category",6,"Category2","Four-Year")</f>
        <v>203.5</v>
      </c>
      <c r="H59" s="114">
        <f>+GETPIVOTDATA("Graduate FTE - Old",'FTE Pivot for regular counts'!$A$2,"State","WV","Category2","Four-Year")</f>
        <v>7967.166666666667</v>
      </c>
    </row>
    <row r="60" spans="1:13" s="25" customFormat="1" ht="9.9499999999999993" customHeight="1">
      <c r="A60" s="76"/>
      <c r="B60" s="16"/>
      <c r="C60" s="16"/>
      <c r="D60" s="16"/>
      <c r="E60" s="16"/>
      <c r="F60" s="16"/>
      <c r="G60" s="16"/>
      <c r="H60" s="109"/>
      <c r="I60" s="15"/>
      <c r="J60" s="103"/>
      <c r="K60" s="103"/>
      <c r="L60" s="103"/>
      <c r="M60" s="103"/>
    </row>
    <row r="61" spans="1:13" ht="46.5" customHeight="1">
      <c r="A61" s="814" t="s">
        <v>1005</v>
      </c>
      <c r="B61" s="825"/>
      <c r="C61" s="825"/>
      <c r="D61" s="825"/>
      <c r="E61" s="825"/>
      <c r="F61" s="825"/>
      <c r="G61" s="825"/>
      <c r="H61" s="825"/>
    </row>
    <row r="62" spans="1:13">
      <c r="A62" s="49"/>
      <c r="B62" s="50"/>
      <c r="C62" s="50"/>
      <c r="D62" s="50"/>
      <c r="E62" s="50"/>
      <c r="F62" s="50"/>
      <c r="G62" s="50"/>
      <c r="H62" s="169" t="s">
        <v>1018</v>
      </c>
    </row>
    <row r="63" spans="1:13" ht="18">
      <c r="A63" s="41" t="s">
        <v>224</v>
      </c>
      <c r="B63" s="41"/>
      <c r="C63" s="41"/>
      <c r="D63" s="41"/>
      <c r="E63" s="41"/>
      <c r="F63" s="41"/>
      <c r="G63" s="41"/>
      <c r="H63" s="115"/>
      <c r="J63" s="230"/>
    </row>
    <row r="64" spans="1:13" ht="15.75">
      <c r="A64" s="55"/>
      <c r="B64" s="43"/>
      <c r="C64" s="43"/>
      <c r="D64" s="43"/>
      <c r="E64" s="43"/>
      <c r="F64" s="43"/>
      <c r="G64" s="43"/>
      <c r="H64" s="110"/>
    </row>
    <row r="65" spans="1:8" ht="15.75">
      <c r="A65" s="43" t="s">
        <v>47</v>
      </c>
      <c r="B65" s="43"/>
      <c r="C65" s="43"/>
      <c r="D65" s="43"/>
      <c r="E65" s="43"/>
      <c r="F65" s="43"/>
      <c r="G65" s="43"/>
      <c r="H65" s="110"/>
    </row>
    <row r="66" spans="1:8" ht="15.75">
      <c r="A66" s="43" t="s">
        <v>1003</v>
      </c>
      <c r="B66" s="43"/>
      <c r="C66" s="43"/>
      <c r="D66" s="43"/>
      <c r="E66" s="43"/>
      <c r="F66" s="43"/>
      <c r="G66" s="43"/>
      <c r="H66" s="110"/>
    </row>
    <row r="67" spans="1:8" ht="15.75">
      <c r="A67" s="43"/>
      <c r="B67" s="43"/>
      <c r="C67" s="43"/>
      <c r="D67" s="43"/>
      <c r="E67" s="43"/>
      <c r="F67" s="43"/>
      <c r="G67" s="43"/>
      <c r="H67" s="110"/>
    </row>
    <row r="68" spans="1:8" ht="15" customHeight="1">
      <c r="A68" s="52"/>
      <c r="B68" s="52" t="s">
        <v>77</v>
      </c>
      <c r="C68" s="52"/>
      <c r="D68" s="52"/>
      <c r="E68" s="52"/>
      <c r="F68" s="52"/>
      <c r="G68" s="52"/>
      <c r="H68" s="111"/>
    </row>
    <row r="69" spans="1:8" ht="15" customHeight="1">
      <c r="A69" s="53"/>
      <c r="B69" s="46">
        <v>1</v>
      </c>
      <c r="C69" s="46">
        <v>2</v>
      </c>
      <c r="D69" s="46">
        <v>3</v>
      </c>
      <c r="E69" s="46">
        <v>4</v>
      </c>
      <c r="F69" s="46">
        <v>5</v>
      </c>
      <c r="G69" s="54">
        <v>6</v>
      </c>
      <c r="H69" s="93" t="s">
        <v>41</v>
      </c>
    </row>
    <row r="70" spans="1:8" ht="15" customHeight="1">
      <c r="A70" s="1" t="s">
        <v>79</v>
      </c>
      <c r="B70" s="11">
        <f>+'OLD Tables'!B9+'OLD Tables'!B39</f>
        <v>1055527.5125000002</v>
      </c>
      <c r="C70" s="11">
        <f>+'OLD Tables'!D9+'OLD Tables'!C39</f>
        <v>239416.14861111113</v>
      </c>
      <c r="D70" s="11">
        <f>+'OLD Tables'!F9+'OLD Tables'!D39</f>
        <v>624995.64166666649</v>
      </c>
      <c r="E70" s="11">
        <f>+'OLD Tables'!H9+'OLD Tables'!E39</f>
        <v>209164.50666666665</v>
      </c>
      <c r="F70" s="11">
        <f>+'OLD Tables'!J9+'OLD Tables'!F39</f>
        <v>123097.44166666669</v>
      </c>
      <c r="G70" s="12">
        <f>+'OLD Tables'!L9+'OLD Tables'!G39</f>
        <v>66933.131666666683</v>
      </c>
      <c r="H70" s="112">
        <f>+'OLD Tables'!N9+'OLD Tables'!H39</f>
        <v>2319134.382777778</v>
      </c>
    </row>
    <row r="71" spans="1:8" ht="15" customHeight="1">
      <c r="B71" s="11"/>
      <c r="C71" s="11"/>
      <c r="D71" s="11"/>
      <c r="E71" s="11"/>
      <c r="F71" s="11"/>
      <c r="G71" s="12"/>
      <c r="H71" s="112"/>
    </row>
    <row r="72" spans="1:8" ht="15" customHeight="1">
      <c r="A72" s="1" t="s">
        <v>80</v>
      </c>
      <c r="B72" s="33">
        <f>+'OLD Tables'!B11+'OLD Tables'!B41</f>
        <v>61374.408333333333</v>
      </c>
      <c r="C72" s="33">
        <f>+'OLD Tables'!D11+'OLD Tables'!C41</f>
        <v>6283.3666666666668</v>
      </c>
      <c r="D72" s="33">
        <f>+'OLD Tables'!F11+'OLD Tables'!D41</f>
        <v>36486.674999999996</v>
      </c>
      <c r="E72" s="33">
        <f>+'OLD Tables'!H11+'OLD Tables'!E41</f>
        <v>16697.241666666669</v>
      </c>
      <c r="F72" s="33">
        <f>+'OLD Tables'!J11+'OLD Tables'!F41</f>
        <v>6593.4</v>
      </c>
      <c r="G72" s="12">
        <f>+'OLD Tables'!L11+'OLD Tables'!G41</f>
        <v>2973</v>
      </c>
      <c r="H72" s="113">
        <f>+'OLD Tables'!N11+'OLD Tables'!H41</f>
        <v>130408.09166666667</v>
      </c>
    </row>
    <row r="73" spans="1:8" ht="15" customHeight="1">
      <c r="A73" s="4" t="s">
        <v>81</v>
      </c>
      <c r="B73" s="33">
        <f>+'OLD Tables'!B12+'OLD Tables'!B42</f>
        <v>18927.391666666666</v>
      </c>
      <c r="C73" s="33">
        <f>+'OLD Tables'!D12+'OLD Tables'!C42</f>
        <v>0</v>
      </c>
      <c r="D73" s="33">
        <f>+'OLD Tables'!F12+'OLD Tables'!D42</f>
        <v>32362.141666666666</v>
      </c>
      <c r="E73" s="33">
        <f>+'OLD Tables'!H12+'OLD Tables'!E42</f>
        <v>13980.916666666666</v>
      </c>
      <c r="F73" s="33">
        <f>+'OLD Tables'!J12+'OLD Tables'!F42</f>
        <v>2461.0583333333334</v>
      </c>
      <c r="G73" s="12">
        <f>+'OLD Tables'!L12+'OLD Tables'!G42</f>
        <v>9563.9000000000015</v>
      </c>
      <c r="H73" s="113">
        <f>+'OLD Tables'!N12+'OLD Tables'!H42</f>
        <v>77295.40833333334</v>
      </c>
    </row>
    <row r="74" spans="1:8" ht="15" customHeight="1">
      <c r="A74" s="1" t="s">
        <v>118</v>
      </c>
      <c r="B74" s="33">
        <f>+'OLD Tables'!B13+'OLD Tables'!B43</f>
        <v>19590.041666666668</v>
      </c>
      <c r="C74" s="33">
        <f>+'OLD Tables'!D13+'OLD Tables'!C43</f>
        <v>0</v>
      </c>
      <c r="D74" s="33">
        <f>+'OLD Tables'!F13+'OLD Tables'!D43</f>
        <v>0</v>
      </c>
      <c r="E74" s="1">
        <f>+'OLD Tables'!H13+'OLD Tables'!E43</f>
        <v>3608.0916666666667</v>
      </c>
      <c r="F74" s="33">
        <f>+'OLD Tables'!J13+'OLD Tables'!F43</f>
        <v>0</v>
      </c>
      <c r="G74" s="12">
        <f>+'OLD Tables'!L13+'OLD Tables'!G43</f>
        <v>0</v>
      </c>
      <c r="H74" s="1">
        <f>+'OLD Tables'!N13+'OLD Tables'!H43</f>
        <v>23198.133333333335</v>
      </c>
    </row>
    <row r="75" spans="1:8" ht="15" customHeight="1">
      <c r="A75" s="1" t="s">
        <v>82</v>
      </c>
      <c r="B75" s="33">
        <f>+'OLD Tables'!B14+'OLD Tables'!B44</f>
        <v>215108.15000000002</v>
      </c>
      <c r="C75" s="33">
        <f>+'OLD Tables'!D14+'OLD Tables'!C44</f>
        <v>22375.291666666664</v>
      </c>
      <c r="D75" s="33">
        <f>+'OLD Tables'!F14+'OLD Tables'!D44</f>
        <v>36545.51666666667</v>
      </c>
      <c r="E75" s="33">
        <f>+'OLD Tables'!H14+'OLD Tables'!E44</f>
        <v>9964.0166666666664</v>
      </c>
      <c r="F75" s="33">
        <f>+'OLD Tables'!J14+'OLD Tables'!F44</f>
        <v>0</v>
      </c>
      <c r="G75" s="12">
        <f>+'OLD Tables'!L14+'OLD Tables'!G44</f>
        <v>922.66666666666663</v>
      </c>
      <c r="H75" s="113">
        <f>+'OLD Tables'!N14+'OLD Tables'!H44</f>
        <v>284915.64166666666</v>
      </c>
    </row>
    <row r="76" spans="1:8" ht="15" customHeight="1">
      <c r="B76" s="33"/>
      <c r="C76" s="33"/>
      <c r="D76" s="33"/>
      <c r="E76" s="33"/>
      <c r="F76" s="33"/>
      <c r="G76" s="12"/>
      <c r="H76" s="113"/>
    </row>
    <row r="77" spans="1:8" ht="15" customHeight="1">
      <c r="A77" s="1" t="s">
        <v>83</v>
      </c>
      <c r="B77" s="33">
        <f>+'OLD Tables'!B16+'OLD Tables'!B46</f>
        <v>65921.8</v>
      </c>
      <c r="C77" s="33">
        <f>+'OLD Tables'!D16+'OLD Tables'!C46</f>
        <v>23302.579166666666</v>
      </c>
      <c r="D77" s="33">
        <f>+'OLD Tables'!F16+'OLD Tables'!D46</f>
        <v>40234.341666666667</v>
      </c>
      <c r="E77" s="33">
        <f>+'OLD Tables'!H16+'OLD Tables'!E46</f>
        <v>45354.698333333334</v>
      </c>
      <c r="F77" s="33">
        <f>+'OLD Tables'!J16+'OLD Tables'!F46</f>
        <v>27253.924999999999</v>
      </c>
      <c r="G77" s="12">
        <f>+'OLD Tables'!L16+'OLD Tables'!G46</f>
        <v>8950.4</v>
      </c>
      <c r="H77" s="113">
        <f>+'OLD Tables'!N16+'OLD Tables'!H46</f>
        <v>211017.74416666667</v>
      </c>
    </row>
    <row r="78" spans="1:8" ht="15" customHeight="1">
      <c r="A78" s="1" t="s">
        <v>84</v>
      </c>
      <c r="B78" s="33">
        <f>+'OLD Tables'!B17+'OLD Tables'!B47</f>
        <v>37979.166666666664</v>
      </c>
      <c r="C78" s="33">
        <f>+'OLD Tables'!D17+'OLD Tables'!C47</f>
        <v>0</v>
      </c>
      <c r="D78" s="33">
        <f>+'OLD Tables'!F17+'OLD Tables'!D47</f>
        <v>47565.745833333334</v>
      </c>
      <c r="E78" s="33">
        <f>+'OLD Tables'!H17+'OLD Tables'!E47</f>
        <v>15102.466666666667</v>
      </c>
      <c r="F78" s="33">
        <f>+'OLD Tables'!J17+'OLD Tables'!F47</f>
        <v>0</v>
      </c>
      <c r="G78" s="12">
        <f>+'OLD Tables'!L17+'OLD Tables'!G47</f>
        <v>0</v>
      </c>
      <c r="H78" s="113">
        <f>+'OLD Tables'!N17+'OLD Tables'!H47</f>
        <v>100647.37916666667</v>
      </c>
    </row>
    <row r="79" spans="1:8" ht="15" customHeight="1">
      <c r="A79" s="1" t="s">
        <v>85</v>
      </c>
      <c r="B79" s="33">
        <f>+'OLD Tables'!B18+'OLD Tables'!B48</f>
        <v>28810.766666666666</v>
      </c>
      <c r="C79" s="33">
        <f>+'OLD Tables'!D18+'OLD Tables'!C48</f>
        <v>30043.202777777777</v>
      </c>
      <c r="D79" s="33">
        <f>+'OLD Tables'!F18+'OLD Tables'!D48</f>
        <v>28873.091666666667</v>
      </c>
      <c r="E79" s="33">
        <f>+'OLD Tables'!H18+'OLD Tables'!E48</f>
        <v>33532.400000000001</v>
      </c>
      <c r="F79" s="33">
        <f>+'OLD Tables'!J18+'OLD Tables'!F48</f>
        <v>0</v>
      </c>
      <c r="G79" s="12">
        <f>+'OLD Tables'!L18+'OLD Tables'!G48</f>
        <v>1883.4666666666667</v>
      </c>
      <c r="H79" s="113">
        <f>+'OLD Tables'!N18+'OLD Tables'!H48</f>
        <v>123142.92777777778</v>
      </c>
    </row>
    <row r="80" spans="1:8" ht="15" customHeight="1">
      <c r="A80" s="1" t="s">
        <v>86</v>
      </c>
      <c r="B80" s="33">
        <f>+'OLD Tables'!B19+'OLD Tables'!B49</f>
        <v>33163.287499999999</v>
      </c>
      <c r="C80" s="33">
        <f>+'OLD Tables'!D19+'OLD Tables'!C49</f>
        <v>17921.224999999999</v>
      </c>
      <c r="D80" s="33">
        <f>+'OLD Tables'!F19+'OLD Tables'!D49</f>
        <v>19312.662499999999</v>
      </c>
      <c r="E80" s="33">
        <f>+'OLD Tables'!H19+'OLD Tables'!E49</f>
        <v>30193.883333333331</v>
      </c>
      <c r="F80" s="33">
        <f>+'OLD Tables'!J19+'OLD Tables'!F49</f>
        <v>0</v>
      </c>
      <c r="G80" s="12">
        <f>+'OLD Tables'!L19+'OLD Tables'!G49</f>
        <v>2175.1916666666666</v>
      </c>
      <c r="H80" s="113">
        <f>+'OLD Tables'!N19+'OLD Tables'!H49</f>
        <v>102766.24999999999</v>
      </c>
    </row>
    <row r="81" spans="1:13" ht="15" customHeight="1">
      <c r="B81" s="33"/>
      <c r="C81" s="33"/>
      <c r="D81" s="33"/>
      <c r="E81" s="33"/>
      <c r="F81" s="33"/>
      <c r="G81" s="12"/>
      <c r="H81" s="113"/>
    </row>
    <row r="82" spans="1:13" ht="15" customHeight="1">
      <c r="A82" s="1" t="s">
        <v>87</v>
      </c>
      <c r="B82" s="33">
        <f>+'OLD Tables'!B21+'OLD Tables'!B51</f>
        <v>30540.541666666664</v>
      </c>
      <c r="C82" s="33">
        <f>+'OLD Tables'!D21+'OLD Tables'!C51</f>
        <v>22897.958333333332</v>
      </c>
      <c r="D82" s="33">
        <f>+'OLD Tables'!F21+'OLD Tables'!D51</f>
        <v>0</v>
      </c>
      <c r="E82" s="33">
        <f>+'OLD Tables'!H21+'OLD Tables'!E51</f>
        <v>9208.0500000000011</v>
      </c>
      <c r="F82" s="33">
        <f>+'OLD Tables'!J21+'OLD Tables'!F51</f>
        <v>2288.3416666666667</v>
      </c>
      <c r="G82" s="12">
        <f>+'OLD Tables'!L21+'OLD Tables'!G51</f>
        <v>0</v>
      </c>
      <c r="H82" s="113">
        <f>+'OLD Tables'!N21+'OLD Tables'!H51</f>
        <v>64934.89166666667</v>
      </c>
    </row>
    <row r="83" spans="1:13" ht="15" customHeight="1">
      <c r="A83" s="1" t="s">
        <v>88</v>
      </c>
      <c r="B83" s="33">
        <f>+'OLD Tables'!B22+'OLD Tables'!B52</f>
        <v>71584.108333333337</v>
      </c>
      <c r="C83" s="33">
        <f>+'OLD Tables'!D22+'OLD Tables'!C52</f>
        <v>21486.066666666666</v>
      </c>
      <c r="D83" s="33">
        <f>+'OLD Tables'!F22+'OLD Tables'!D52</f>
        <v>80436.425000000003</v>
      </c>
      <c r="E83" s="33">
        <f>+'OLD Tables'!H22+'OLD Tables'!E52</f>
        <v>5222.2583333333332</v>
      </c>
      <c r="F83" s="33">
        <f>+'OLD Tables'!J22+'OLD Tables'!F52</f>
        <v>12339.8</v>
      </c>
      <c r="G83" s="12">
        <f>+'OLD Tables'!L22+'OLD Tables'!G52</f>
        <v>6813.8249999999998</v>
      </c>
      <c r="H83" s="113">
        <f>+'OLD Tables'!N22+'OLD Tables'!H52</f>
        <v>197882.48333333328</v>
      </c>
    </row>
    <row r="84" spans="1:13" ht="15" customHeight="1">
      <c r="A84" s="1" t="s">
        <v>89</v>
      </c>
      <c r="B84" s="33">
        <f>+'OLD Tables'!B23+'OLD Tables'!B53</f>
        <v>42740.983333333337</v>
      </c>
      <c r="C84" s="33">
        <f>+'OLD Tables'!D23+'OLD Tables'!C53</f>
        <v>0</v>
      </c>
      <c r="D84" s="33">
        <f>+'OLD Tables'!F23+'OLD Tables'!D53</f>
        <v>21021.883333333331</v>
      </c>
      <c r="E84" s="33">
        <f>+'OLD Tables'!H23+'OLD Tables'!E53</f>
        <v>0</v>
      </c>
      <c r="F84" s="33">
        <f>+'OLD Tables'!J23+'OLD Tables'!F53</f>
        <v>21723.058333333334</v>
      </c>
      <c r="G84" s="12">
        <f>+'OLD Tables'!L23+'OLD Tables'!G53</f>
        <v>5631.5</v>
      </c>
      <c r="H84" s="113">
        <f>+'OLD Tables'!N23+'OLD Tables'!H53</f>
        <v>91117.425000000003</v>
      </c>
    </row>
    <row r="85" spans="1:13" ht="15" customHeight="1">
      <c r="A85" s="1" t="s">
        <v>90</v>
      </c>
      <c r="B85" s="33">
        <f>+'OLD Tables'!B24+'OLD Tables'!B54</f>
        <v>44473.23333333333</v>
      </c>
      <c r="C85" s="33">
        <f>+'OLD Tables'!D24+'OLD Tables'!C54</f>
        <v>0</v>
      </c>
      <c r="D85" s="33">
        <f>+'OLD Tables'!F24+'OLD Tables'!D54</f>
        <v>16128.774999999998</v>
      </c>
      <c r="E85" s="33">
        <f>+'OLD Tables'!H24+'OLD Tables'!E54</f>
        <v>3508.45</v>
      </c>
      <c r="F85" s="33">
        <f>+'OLD Tables'!J24+'OLD Tables'!F54</f>
        <v>16209.183333333334</v>
      </c>
      <c r="G85" s="12">
        <f>+'OLD Tables'!L24+'OLD Tables'!G54</f>
        <v>12238.691666666668</v>
      </c>
      <c r="H85" s="113">
        <f>+'OLD Tables'!N24+'OLD Tables'!H54</f>
        <v>92558.333333333328</v>
      </c>
    </row>
    <row r="86" spans="1:13" ht="15" customHeight="1">
      <c r="B86" s="33"/>
      <c r="C86" s="33"/>
      <c r="D86" s="33"/>
      <c r="E86" s="33"/>
      <c r="F86" s="33"/>
      <c r="G86" s="12"/>
      <c r="H86" s="113"/>
    </row>
    <row r="87" spans="1:13" ht="15" customHeight="1">
      <c r="A87" s="1" t="s">
        <v>91</v>
      </c>
      <c r="B87" s="33">
        <f>+'OLD Tables'!B26+'OLD Tables'!B56</f>
        <v>43271.616666666669</v>
      </c>
      <c r="C87" s="33">
        <f>+'OLD Tables'!D26+'OLD Tables'!C56</f>
        <v>7635.9083333333328</v>
      </c>
      <c r="D87" s="33">
        <f>+'OLD Tables'!F26+'OLD Tables'!D56</f>
        <v>63124.4</v>
      </c>
      <c r="E87" s="33">
        <f>+'OLD Tables'!H26+'OLD Tables'!E56</f>
        <v>0</v>
      </c>
      <c r="F87" s="33">
        <f>+'OLD Tables'!J26+'OLD Tables'!F56</f>
        <v>7146.4916666666668</v>
      </c>
      <c r="G87" s="12">
        <f>+'OLD Tables'!L26+'OLD Tables'!G56</f>
        <v>0</v>
      </c>
      <c r="H87" s="113">
        <f>+'OLD Tables'!N26+'OLD Tables'!H56</f>
        <v>121178.41666666666</v>
      </c>
    </row>
    <row r="88" spans="1:13" ht="15" customHeight="1">
      <c r="A88" s="1" t="s">
        <v>92</v>
      </c>
      <c r="B88" s="33">
        <f>+'OLD Tables'!B27+'OLD Tables'!B57</f>
        <v>216254</v>
      </c>
      <c r="C88" s="33">
        <f>+'OLD Tables'!D27+'OLD Tables'!C57</f>
        <v>51816.25</v>
      </c>
      <c r="D88" s="33">
        <f>+'OLD Tables'!F27+'OLD Tables'!D57</f>
        <v>167001.73333333331</v>
      </c>
      <c r="E88" s="33">
        <f>+'OLD Tables'!H27+'OLD Tables'!E57</f>
        <v>4103.2583333333332</v>
      </c>
      <c r="F88" s="33">
        <f>+'OLD Tables'!J27+'OLD Tables'!F57</f>
        <v>9625.5416666666661</v>
      </c>
      <c r="G88" s="12">
        <f>+'OLD Tables'!L27+'OLD Tables'!G57</f>
        <v>1690.8666666666666</v>
      </c>
      <c r="H88" s="113">
        <f>+'OLD Tables'!N27+'OLD Tables'!H57</f>
        <v>450491.64999999997</v>
      </c>
    </row>
    <row r="89" spans="1:13" ht="15" customHeight="1">
      <c r="A89" s="1" t="s">
        <v>93</v>
      </c>
      <c r="B89" s="33">
        <f>+'OLD Tables'!B28+'OLD Tables'!B58</f>
        <v>99370.35</v>
      </c>
      <c r="C89" s="33">
        <f>+'OLD Tables'!D28+'OLD Tables'!C58</f>
        <v>35654.300000000003</v>
      </c>
      <c r="D89" s="33">
        <f>+'OLD Tables'!F28+'OLD Tables'!D58</f>
        <v>24618.85</v>
      </c>
      <c r="E89" s="33">
        <f>+'OLD Tables'!H28+'OLD Tables'!E58</f>
        <v>18688.775000000001</v>
      </c>
      <c r="F89" s="33">
        <f>+'OLD Tables'!J28+'OLD Tables'!F58</f>
        <v>9467.4249999999993</v>
      </c>
      <c r="G89" s="12">
        <f>+'OLD Tables'!L28+'OLD Tables'!G58</f>
        <v>1689.9766666666667</v>
      </c>
      <c r="H89" s="113">
        <f>+'OLD Tables'!N28+'OLD Tables'!H58</f>
        <v>189489.67666666664</v>
      </c>
    </row>
    <row r="90" spans="1:13" ht="15" customHeight="1">
      <c r="A90" s="3" t="s">
        <v>94</v>
      </c>
      <c r="B90" s="13">
        <f>+'OLD Tables'!B29+'OLD Tables'!B59</f>
        <v>26417.666666666664</v>
      </c>
      <c r="C90" s="13">
        <f>+'OLD Tables'!D29+'OLD Tables'!C59</f>
        <v>0</v>
      </c>
      <c r="D90" s="13">
        <f>+'OLD Tables'!F29+'OLD Tables'!D59</f>
        <v>11283.4</v>
      </c>
      <c r="E90" s="13">
        <f>+'OLD Tables'!H29+'OLD Tables'!E59</f>
        <v>0</v>
      </c>
      <c r="F90" s="13">
        <f>+'OLD Tables'!J29+'OLD Tables'!F59</f>
        <v>7989.2166666666672</v>
      </c>
      <c r="G90" s="14">
        <f>+'OLD Tables'!L29+'OLD Tables'!G59</f>
        <v>12399.646666666666</v>
      </c>
      <c r="H90" s="114">
        <f>+'OLD Tables'!N29+'OLD Tables'!H59</f>
        <v>58089.93</v>
      </c>
    </row>
    <row r="91" spans="1:13" s="25" customFormat="1" ht="9.9499999999999993" customHeight="1">
      <c r="A91" s="76"/>
      <c r="B91" s="16"/>
      <c r="C91" s="16"/>
      <c r="D91" s="16"/>
      <c r="E91" s="16"/>
      <c r="F91" s="16"/>
      <c r="G91" s="16"/>
      <c r="H91" s="109"/>
      <c r="I91" s="15"/>
      <c r="J91" s="103"/>
      <c r="K91" s="103"/>
      <c r="L91" s="103"/>
      <c r="M91" s="103"/>
    </row>
    <row r="92" spans="1:13" ht="51.75" customHeight="1">
      <c r="A92" s="814" t="s">
        <v>1006</v>
      </c>
      <c r="B92" s="825"/>
      <c r="C92" s="825"/>
      <c r="D92" s="825"/>
      <c r="E92" s="825"/>
      <c r="F92" s="825"/>
      <c r="G92" s="825"/>
      <c r="H92" s="825"/>
    </row>
    <row r="93" spans="1:13">
      <c r="A93" s="49"/>
      <c r="B93" s="50"/>
      <c r="C93" s="50"/>
      <c r="D93" s="50"/>
      <c r="E93" s="50"/>
      <c r="F93" s="50"/>
      <c r="G93" s="50"/>
      <c r="H93" s="169" t="s">
        <v>1018</v>
      </c>
    </row>
    <row r="94" spans="1:13" ht="18">
      <c r="A94" s="812" t="s">
        <v>225</v>
      </c>
      <c r="B94" s="812"/>
      <c r="C94" s="812"/>
      <c r="D94" s="812"/>
      <c r="E94" s="812"/>
      <c r="F94" s="812"/>
      <c r="G94" s="812"/>
      <c r="H94" s="812"/>
      <c r="I94" s="812"/>
      <c r="J94" s="812"/>
      <c r="K94" s="271"/>
      <c r="L94" s="271"/>
      <c r="M94" s="178"/>
    </row>
    <row r="95" spans="1:13" ht="15.75">
      <c r="A95" s="21"/>
      <c r="B95" s="21"/>
      <c r="C95" s="21"/>
      <c r="D95" s="21"/>
      <c r="E95" s="21"/>
      <c r="F95" s="21"/>
      <c r="G95" s="21"/>
      <c r="H95" s="105"/>
      <c r="I95" s="21"/>
      <c r="J95" s="105"/>
      <c r="K95" s="105"/>
      <c r="L95" s="105"/>
      <c r="M95" s="198"/>
    </row>
    <row r="96" spans="1:13" ht="15.75">
      <c r="A96" s="813" t="s">
        <v>45</v>
      </c>
      <c r="B96" s="813"/>
      <c r="C96" s="813"/>
      <c r="D96" s="813"/>
      <c r="E96" s="813"/>
      <c r="F96" s="813"/>
      <c r="G96" s="813"/>
      <c r="H96" s="813"/>
      <c r="I96" s="813"/>
      <c r="J96" s="813"/>
      <c r="K96" s="272"/>
      <c r="L96" s="272"/>
      <c r="M96" s="199"/>
    </row>
    <row r="97" spans="1:13" ht="15.75">
      <c r="A97" s="813" t="s">
        <v>1007</v>
      </c>
      <c r="B97" s="813"/>
      <c r="C97" s="813"/>
      <c r="D97" s="813"/>
      <c r="E97" s="813"/>
      <c r="F97" s="813"/>
      <c r="G97" s="813"/>
      <c r="H97" s="813"/>
      <c r="I97" s="813"/>
      <c r="J97" s="813"/>
      <c r="K97" s="272"/>
      <c r="L97" s="272"/>
      <c r="M97" s="199"/>
    </row>
    <row r="98" spans="1:13">
      <c r="B98" s="2"/>
      <c r="C98" s="2"/>
      <c r="D98" s="2"/>
      <c r="E98" s="2"/>
      <c r="F98" s="2"/>
      <c r="G98" s="2"/>
      <c r="H98" s="107"/>
      <c r="I98" s="2"/>
      <c r="J98" s="107"/>
      <c r="K98" s="107"/>
      <c r="L98" s="107"/>
      <c r="M98" s="191"/>
    </row>
    <row r="99" spans="1:13" ht="15" customHeight="1">
      <c r="A99" s="44"/>
      <c r="B99" s="56" t="s">
        <v>78</v>
      </c>
      <c r="C99" s="56"/>
      <c r="D99" s="27"/>
      <c r="E99" s="27"/>
      <c r="F99" s="28"/>
      <c r="G99" s="57" t="s">
        <v>56</v>
      </c>
      <c r="H99" s="91"/>
      <c r="I99" s="92"/>
      <c r="J99" s="170" t="s">
        <v>39</v>
      </c>
      <c r="K99" s="170" t="s">
        <v>39</v>
      </c>
      <c r="L99" s="230"/>
      <c r="M99" s="170"/>
    </row>
    <row r="100" spans="1:13" ht="24">
      <c r="A100" s="45"/>
      <c r="B100" s="58" t="s">
        <v>156</v>
      </c>
      <c r="C100" s="46">
        <v>1</v>
      </c>
      <c r="D100" s="46">
        <v>2</v>
      </c>
      <c r="E100" s="46">
        <v>3</v>
      </c>
      <c r="F100" s="59" t="s">
        <v>41</v>
      </c>
      <c r="G100" s="60">
        <v>1</v>
      </c>
      <c r="H100" s="94">
        <v>2</v>
      </c>
      <c r="I100" s="93" t="s">
        <v>41</v>
      </c>
      <c r="J100" s="123"/>
      <c r="K100" s="123"/>
      <c r="L100" s="123"/>
      <c r="M100" s="123"/>
    </row>
    <row r="101" spans="1:13" ht="15" customHeight="1">
      <c r="A101" s="1" t="s">
        <v>79</v>
      </c>
      <c r="B101" s="5">
        <f>+GETPIVOTDATA("Undergrad Student Credit Hour  FTE - Old",'FTE Pivot for regular counts'!$A$2,"Category","7","Category2","Two-Year")</f>
        <v>194323.06666666665</v>
      </c>
      <c r="C101" s="15">
        <f>+GETPIVOTDATA("Undergrad Student Credit Hour  FTE - Old",'FTE Pivot for regular counts'!$A$2,"Category","8","Category2","Two-Year")</f>
        <v>1028993.5033333335</v>
      </c>
      <c r="D101" s="5">
        <f>+GETPIVOTDATA("Undergrad Student Credit Hour  FTE - Old",'FTE Pivot for regular counts'!$A$2,"Category","9","Category2","Two-Year")</f>
        <v>461835.94666666671</v>
      </c>
      <c r="E101" s="5">
        <f>+GETPIVOTDATA("Undergrad Student Credit Hour  FTE - Old",'FTE Pivot for regular counts'!$A$2,"Category","10","Category2","Two-Year")</f>
        <v>146918.98166666666</v>
      </c>
      <c r="F101" s="23">
        <f>+GETPIVOTDATA("Undergrad Student Credit Hour  FTE - Old",'FTE Pivot for regular counts'!$A$2,"Category2","Two-Year")</f>
        <v>1832071.4983333333</v>
      </c>
      <c r="G101" s="18">
        <f>+GETPIVOTDATA("Undergrad Student Credit Hour  FTE - Old",'FTE Pivot for regular counts'!$A$2,"Category","12","Category2","Technical")</f>
        <v>129124.27899299997</v>
      </c>
      <c r="H101" s="103">
        <f>+GETPIVOTDATA("Undergrad Student Credit Hour  FTE - Old",'FTE Pivot for regular counts'!$A$2,"Category","13","Category2","Technical")</f>
        <v>2644.5</v>
      </c>
      <c r="I101" s="4">
        <f>+GETPIVOTDATA("Undergrad Student Credit Hour  FTE - Old",'FTE Pivot for regular counts'!$A$2,"Category2","Technical")</f>
        <v>131768.77899299999</v>
      </c>
      <c r="J101" s="73"/>
    </row>
    <row r="102" spans="1:13" ht="15" customHeight="1">
      <c r="B102" s="5"/>
      <c r="C102" s="15"/>
      <c r="D102" s="5"/>
      <c r="E102" s="5"/>
      <c r="F102" s="23"/>
      <c r="G102" s="18"/>
      <c r="H102" s="103"/>
      <c r="I102" s="4"/>
      <c r="J102" s="73"/>
    </row>
    <row r="103" spans="1:13" ht="15" customHeight="1">
      <c r="A103" s="1" t="s">
        <v>80</v>
      </c>
      <c r="B103" s="5">
        <f>+GETPIVOTDATA("Undergrad Student Credit Hour  FTE - Old",'FTE Pivot for regular counts'!$A$2,"State","AL","Category","7","Category2","Two-Year")</f>
        <v>0</v>
      </c>
      <c r="C103" s="15">
        <f>+GETPIVOTDATA("Undergrad Student Credit Hour  FTE - Old",'FTE Pivot for regular counts'!$A$2,"State","AL","Category","8","Category2","Two-Year")</f>
        <v>27220.566666666669</v>
      </c>
      <c r="D103" s="5">
        <f>+GETPIVOTDATA("Undergrad Student Credit Hour  FTE - Old",'FTE Pivot for regular counts'!$A$2,"State","AL","Category","9","Category2","Two-Year")</f>
        <v>40140.033333333333</v>
      </c>
      <c r="E103" s="5">
        <f>+GETPIVOTDATA("Undergrad Student Credit Hour  FTE - Old",'FTE Pivot for regular counts'!$A$2,"State","AL","Category","10","Category2","Two-Year")</f>
        <v>9758.6666666666661</v>
      </c>
      <c r="F103" s="23">
        <f>+GETPIVOTDATA("Undergrad Student Credit Hour  FTE - Old",'FTE Pivot for regular counts'!$A$2,"State","AL","Category2","Two-Year")</f>
        <v>77119.266666666677</v>
      </c>
      <c r="G103" s="18">
        <f>+GETPIVOTDATA("Undergrad Student Credit Hour  FTE - Old",'FTE Pivot for regular counts'!$A$2,"State","AL","Category","12","Category2","Technical")</f>
        <v>1657.2333333333333</v>
      </c>
      <c r="H103" s="103">
        <f>+GETPIVOTDATA("Undergrad Student Credit Hour  FTE - Old",'FTE Pivot for regular counts'!$A$2,"State","AL","Category","13","Category2","Technical")</f>
        <v>2644.5</v>
      </c>
      <c r="I103" s="4">
        <f>+GETPIVOTDATA("Undergrad Student Credit Hour  FTE - Old",'FTE Pivot for regular counts'!$A$2,"State","AL","Category2","Technical")</f>
        <v>4301.7333333333336</v>
      </c>
      <c r="J103" s="73"/>
    </row>
    <row r="104" spans="1:13" ht="15" customHeight="1">
      <c r="A104" s="4" t="s">
        <v>81</v>
      </c>
      <c r="B104" s="15">
        <f>+GETPIVOTDATA("Undergrad Student Credit Hour  FTE - Old",'FTE Pivot for regular counts'!$A$2,"State","AR","Category","7","Category2","Two-Year")</f>
        <v>0</v>
      </c>
      <c r="C104" s="15">
        <f>+GETPIVOTDATA("Undergrad Student Credit Hour  FTE - Old",'FTE Pivot for regular counts'!$A$2,"State","AR","Category","8","Category2","Two-Year")</f>
        <v>13906.1</v>
      </c>
      <c r="D104" s="15">
        <f>+GETPIVOTDATA("Undergrad Student Credit Hour  FTE - Old",'FTE Pivot for regular counts'!$A$2,"State","AR","Category","9","Category2","Two-Year")</f>
        <v>6435.2</v>
      </c>
      <c r="E104" s="15">
        <f>+GETPIVOTDATA("Undergrad Student Credit Hour  FTE - Old",'FTE Pivot for regular counts'!$A$2,"State","AR","Category","10","Category2","Two-Year")</f>
        <v>24747.599999999999</v>
      </c>
      <c r="F104" s="23">
        <f>+GETPIVOTDATA("Undergrad Student Credit Hour  FTE - Old",'FTE Pivot for regular counts'!$A$2,"State","AR","Category2","Two-Year")</f>
        <v>45088.899999999994</v>
      </c>
      <c r="G104" s="18">
        <f>+GETPIVOTDATA("Undergrad Student Credit Hour  FTE - Old",'FTE Pivot for regular counts'!$A$2,"State","AR","Category","12","Category2","Technical")</f>
        <v>0</v>
      </c>
      <c r="H104" s="103">
        <f>+GETPIVOTDATA("Undergrad Student Credit Hour  FTE - Old",'FTE Pivot for regular counts'!$A$2,"State","AR","Category","13","Category2","Technical")</f>
        <v>0</v>
      </c>
      <c r="I104" s="73">
        <f>+GETPIVOTDATA("Undergrad Student Credit Hour  FTE - Old",'FTE Pivot for regular counts'!$A$2,"State","AR","Category2","Technical")</f>
        <v>0</v>
      </c>
      <c r="J104" s="73"/>
      <c r="K104" s="73"/>
      <c r="L104" s="73"/>
    </row>
    <row r="105" spans="1:13" ht="15" customHeight="1">
      <c r="A105" s="1" t="s">
        <v>118</v>
      </c>
      <c r="B105" s="15">
        <f>+GETPIVOTDATA("Undergrad Student Credit Hour  FTE - Old",'FTE Pivot for regular counts'!$A$2,"State","DE","Category","7","Category2","Two-Year")</f>
        <v>0</v>
      </c>
      <c r="C105" s="15">
        <f>+GETPIVOTDATA("Undergrad Student Credit Hour  FTE - Old",'FTE Pivot for regular counts'!$A$2,"State","DE","Category","8","Category2","Two-Year")</f>
        <v>5423</v>
      </c>
      <c r="D105" s="15">
        <f>+GETPIVOTDATA("Undergrad Student Credit Hour  FTE - Old",'FTE Pivot for regular counts'!$A$2,"State","DE","Category","9","Category2","Two-Year")</f>
        <v>6026.9666666666672</v>
      </c>
      <c r="E105" s="15">
        <f>+GETPIVOTDATA("Undergrad Student Credit Hour  FTE - Old",'FTE Pivot for regular counts'!$A$2,"State","DE","Category","10","Category2","Two-Year")</f>
        <v>0</v>
      </c>
      <c r="F105" s="23">
        <f>+GETPIVOTDATA("Undergrad Student Credit Hour  FTE - Old",'FTE Pivot for regular counts'!$A$2,"State","DE","Category2","Two-Year")</f>
        <v>11449.966666666667</v>
      </c>
      <c r="G105" s="18">
        <f>+GETPIVOTDATA("Undergrad Student Credit Hour  FTE - Old",'FTE Pivot for regular counts'!$A$2,"State","DE","Category","12","Category2","Technical")</f>
        <v>0</v>
      </c>
      <c r="H105" s="103">
        <f>+GETPIVOTDATA("Undergrad Student Credit Hour  FTE - Old",'FTE Pivot for regular counts'!$A$2,"State","DE","Category","13","Category2","Technical")</f>
        <v>0</v>
      </c>
      <c r="I105" s="73">
        <f>+GETPIVOTDATA("Undergrad Student Credit Hour  FTE - Old",'FTE Pivot for regular counts'!$A$2,"State","DE","Category2","Technical")</f>
        <v>0</v>
      </c>
      <c r="J105" s="73"/>
      <c r="K105" s="73"/>
      <c r="L105" s="73"/>
    </row>
    <row r="106" spans="1:13" ht="15" customHeight="1">
      <c r="A106" s="1" t="s">
        <v>82</v>
      </c>
      <c r="B106" s="15">
        <f>+GETPIVOTDATA("Undergrad Student Credit Hour  FTE - Old",'FTE Pivot for regular counts'!$A$2,"State","FL","Category","7","Category2","Two-Year")</f>
        <v>140113.29999999999</v>
      </c>
      <c r="C106" s="15">
        <f>+GETPIVOTDATA("Undergrad Student Credit Hour  FTE - Old",'FTE Pivot for regular counts'!$A$2,"State","FL","Category","8","Category2","Two-Year")</f>
        <v>184099.1</v>
      </c>
      <c r="D106" s="15">
        <f>+GETPIVOTDATA("Undergrad Student Credit Hour  FTE - Old",'FTE Pivot for regular counts'!$A$2,"State","FL","Category","9","Category2","Two-Year")</f>
        <v>16144.333333333332</v>
      </c>
      <c r="E106" s="15">
        <f>+GETPIVOTDATA("Undergrad Student Credit Hour  FTE - Old",'FTE Pivot for regular counts'!$A$2,"State","FL","Category","10","Category2","Two-Year")</f>
        <v>1861.1666666666665</v>
      </c>
      <c r="F106" s="23">
        <f>+GETPIVOTDATA("Undergrad Student Credit Hour  FTE - Old",'FTE Pivot for regular counts'!$A$2,"State","FL","Category2","Two-Year")</f>
        <v>342217.9</v>
      </c>
      <c r="G106" s="18">
        <f>+GETPIVOTDATA("Undergrad Student Credit Hour  FTE - Old",'FTE Pivot for regular counts'!$A$2,"State","FL","Category","12","Category2","Technical")</f>
        <v>0</v>
      </c>
      <c r="H106" s="103">
        <f>+GETPIVOTDATA("Undergrad Student Credit Hour  FTE - Old",'FTE Pivot for regular counts'!$A$2,"State","FL","Category","13","Category2","Technical")</f>
        <v>0</v>
      </c>
      <c r="I106" s="73">
        <f>+GETPIVOTDATA("Undergrad Student Credit Hour  FTE - Old",'FTE Pivot for regular counts'!$A$2,"State","FL","Category2","Technical")</f>
        <v>0</v>
      </c>
      <c r="J106" s="73"/>
      <c r="K106" s="73"/>
      <c r="L106" s="73"/>
    </row>
    <row r="107" spans="1:13" ht="15" customHeight="1">
      <c r="B107" s="15"/>
      <c r="C107" s="15"/>
      <c r="D107" s="15"/>
      <c r="E107" s="15"/>
      <c r="F107" s="23"/>
      <c r="G107" s="18"/>
      <c r="H107" s="103"/>
      <c r="I107" s="73"/>
      <c r="J107" s="73"/>
      <c r="K107" s="73"/>
      <c r="L107" s="73"/>
    </row>
    <row r="108" spans="1:13" ht="15" customHeight="1">
      <c r="A108" s="1" t="s">
        <v>83</v>
      </c>
      <c r="B108" s="15">
        <f>+GETPIVOTDATA("Undergrad Student Credit Hour  FTE - Old",'FTE Pivot for regular counts'!$A$2,"State","GA","Category","7","Category2","Two-Year")</f>
        <v>15733.666666666668</v>
      </c>
      <c r="C108" s="15">
        <f>+GETPIVOTDATA("Undergrad Student Credit Hour  FTE - Old",'FTE Pivot for regular counts'!$A$2,"State","GA","Category","8","Category2","Two-Year")</f>
        <v>19360.133333333335</v>
      </c>
      <c r="D108" s="15">
        <f>+GETPIVOTDATA("Undergrad Student Credit Hour  FTE - Old",'FTE Pivot for regular counts'!$A$2,"State","GA","Category","9","Category2","Two-Year")</f>
        <v>25993.766666666666</v>
      </c>
      <c r="E108" s="15">
        <f>+GETPIVOTDATA("Undergrad Student Credit Hour  FTE - Old",'FTE Pivot for regular counts'!$A$2,"State","GA","Category","10","Category2","Two-Year")</f>
        <v>2799.1</v>
      </c>
      <c r="F108" s="23">
        <f>+GETPIVOTDATA("Undergrad Student Credit Hour  FTE - Old",'FTE Pivot for regular counts'!$A$2,"State","GA","Category2","Two-Year")</f>
        <v>63886.666666666664</v>
      </c>
      <c r="G108" s="18">
        <f>+GETPIVOTDATA("Undergrad Student Credit Hour  FTE - Old",'FTE Pivot for regular counts'!$A$2,"State","GA","Category","12","Category2","Technical")</f>
        <v>103051.67899299996</v>
      </c>
      <c r="H108" s="103">
        <f>+GETPIVOTDATA("Undergrad Student Credit Hour  FTE - Old",'FTE Pivot for regular counts'!$A$2,"State","GA","Category","13","Category2","Technical")</f>
        <v>0</v>
      </c>
      <c r="I108" s="73">
        <f>+GETPIVOTDATA("Undergrad Student Credit Hour  FTE - Old",'FTE Pivot for regular counts'!$A$2,"State","GA","Category2","Technical")</f>
        <v>103051.67899299996</v>
      </c>
      <c r="J108" s="73"/>
      <c r="K108" s="73"/>
      <c r="L108" s="73"/>
    </row>
    <row r="109" spans="1:13" ht="15" customHeight="1">
      <c r="A109" s="1" t="s">
        <v>84</v>
      </c>
      <c r="B109" s="15">
        <f>+GETPIVOTDATA("Undergrad Student Credit Hour  FTE - Old",'FTE Pivot for regular counts'!$A$2,"State","KY","Category","7","Category2","Two-Year")</f>
        <v>0</v>
      </c>
      <c r="C109" s="15">
        <f>+GETPIVOTDATA("Undergrad Student Credit Hour  FTE - Old",'FTE Pivot for regular counts'!$A$2,"State","KY","Category","8","Category2","Two-Year")</f>
        <v>18440.776666666665</v>
      </c>
      <c r="D109" s="15">
        <f>+GETPIVOTDATA("Undergrad Student Credit Hour  FTE - Old",'FTE Pivot for regular counts'!$A$2,"State","KY","Category","9","Category2","Two-Year")</f>
        <v>33774.286666666667</v>
      </c>
      <c r="E109" s="15">
        <f>+GETPIVOTDATA("Undergrad Student Credit Hour  FTE - Old",'FTE Pivot for regular counts'!$A$2,"State","KY","Category","10","Category2","Two-Year")</f>
        <v>3829.0666666666666</v>
      </c>
      <c r="F109" s="23">
        <f>+GETPIVOTDATA("Undergrad Student Credit Hour  FTE - Old",'FTE Pivot for regular counts'!$A$2,"State","KY","Category2","Two-Year")</f>
        <v>56044.13</v>
      </c>
      <c r="G109" s="18">
        <f>+GETPIVOTDATA("Undergrad Student Credit Hour  FTE - Old",'FTE Pivot for regular counts'!$A$2,"State","KY","Category","12","Category2","Technical")</f>
        <v>4584.5</v>
      </c>
      <c r="H109" s="103">
        <f>+GETPIVOTDATA("Undergrad Student Credit Hour  FTE - Old",'FTE Pivot for regular counts'!$A$2,"State","KY","Category","13","Category2","Technical")</f>
        <v>0</v>
      </c>
      <c r="I109" s="73">
        <f>+GETPIVOTDATA("Undergrad Student Credit Hour  FTE - Old",'FTE Pivot for regular counts'!$A$2,"State","KY","Category2","Technical")</f>
        <v>4584.5</v>
      </c>
      <c r="J109" s="73"/>
      <c r="K109" s="73"/>
      <c r="L109" s="73"/>
    </row>
    <row r="110" spans="1:13" ht="15" customHeight="1">
      <c r="A110" s="1" t="s">
        <v>85</v>
      </c>
      <c r="B110" s="15">
        <f>+GETPIVOTDATA("Undergrad Student Credit Hour  FTE - Old",'FTE Pivot for regular counts'!$A$2,"State","LA","Category","7","Category2","Two-Year")</f>
        <v>0</v>
      </c>
      <c r="C110" s="15">
        <f>+GETPIVOTDATA("Undergrad Student Credit Hour  FTE - Old",'FTE Pivot for regular counts'!$A$2,"State","LA","Category","8","Category2","Two-Year")</f>
        <v>19117.400000000001</v>
      </c>
      <c r="D110" s="15">
        <f>+GETPIVOTDATA("Undergrad Student Credit Hour  FTE - Old",'FTE Pivot for regular counts'!$A$2,"State","LA","Category","9","Category2","Two-Year")</f>
        <v>9538.5333333333328</v>
      </c>
      <c r="E110" s="15">
        <f>+GETPIVOTDATA("Undergrad Student Credit Hour  FTE - Old",'FTE Pivot for regular counts'!$A$2,"State","LA","Category","10","Category2","Two-Year")</f>
        <v>7670.0666666666675</v>
      </c>
      <c r="F110" s="23">
        <f>+GETPIVOTDATA("Undergrad Student Credit Hour  FTE - Old",'FTE Pivot for regular counts'!$A$2,"State","LA","Category2","Two-Year")</f>
        <v>36326</v>
      </c>
      <c r="G110" s="18">
        <f>+GETPIVOTDATA("Undergrad Student Credit Hour  FTE - Old",'FTE Pivot for regular counts'!$A$2,"State","LA","Category","12","Category2","Technical")</f>
        <v>19830.866666666669</v>
      </c>
      <c r="H110" s="103">
        <f>+GETPIVOTDATA("Undergrad Student Credit Hour  FTE - Old",'FTE Pivot for regular counts'!$A$2,"State","LA","Category","13","Category2","Technical")</f>
        <v>0</v>
      </c>
      <c r="I110" s="73">
        <f>+GETPIVOTDATA("Undergrad Student Credit Hour  FTE - Old",'FTE Pivot for regular counts'!$A$2,"State","LA","Category2","Technical")</f>
        <v>19830.866666666669</v>
      </c>
      <c r="J110" s="73"/>
      <c r="K110" s="73"/>
      <c r="L110" s="73"/>
    </row>
    <row r="111" spans="1:13" ht="15" customHeight="1">
      <c r="A111" s="1" t="s">
        <v>86</v>
      </c>
      <c r="B111" s="15">
        <f>+GETPIVOTDATA("Undergrad Student Credit Hour  FTE - Old",'FTE Pivot for regular counts'!$A$2,"State","MD","Category","7","Category2","Two-Year")</f>
        <v>0</v>
      </c>
      <c r="C111" s="15">
        <f>+GETPIVOTDATA("Undergrad Student Credit Hour  FTE - Old",'FTE Pivot for regular counts'!$A$2,"State","MD","Category","8","Category2","Two-Year")</f>
        <v>69967.32666666666</v>
      </c>
      <c r="D111" s="15">
        <f>+GETPIVOTDATA("Undergrad Student Credit Hour  FTE - Old",'FTE Pivot for regular counts'!$A$2,"State","MD","Category","9","Category2","Two-Year")</f>
        <v>24506.716666666667</v>
      </c>
      <c r="E111" s="15">
        <f>+GETPIVOTDATA("Undergrad Student Credit Hour  FTE - Old",'FTE Pivot for regular counts'!$A$2,"State","MD","Category","10","Category2","Two-Year")</f>
        <v>4122.5749999999998</v>
      </c>
      <c r="F111" s="23">
        <f>+GETPIVOTDATA("Undergrad Student Credit Hour  FTE - Old",'FTE Pivot for regular counts'!$A$2,"State","MD","Category2","Two-Year")</f>
        <v>98596.618333333332</v>
      </c>
      <c r="G111" s="18">
        <f>+GETPIVOTDATA("Undergrad Student Credit Hour  FTE - Old",'FTE Pivot for regular counts'!$A$2,"State","MD","Category","12","Category2","Technical")</f>
        <v>0</v>
      </c>
      <c r="H111" s="103">
        <f>+GETPIVOTDATA("Undergrad Student Credit Hour  FTE - Old",'FTE Pivot for regular counts'!$A$2,"State","MD","Category","13","Category2","Technical")</f>
        <v>0</v>
      </c>
      <c r="I111" s="73">
        <f>+GETPIVOTDATA("Undergrad Student Credit Hour  FTE - Old",'FTE Pivot for regular counts'!$A$2,"State","MD","Category2","Technical")</f>
        <v>0</v>
      </c>
      <c r="J111" s="73"/>
      <c r="K111" s="73"/>
      <c r="L111" s="73"/>
    </row>
    <row r="112" spans="1:13" ht="15" customHeight="1">
      <c r="B112" s="15"/>
      <c r="C112" s="15"/>
      <c r="D112" s="15"/>
      <c r="E112" s="15"/>
      <c r="F112" s="23"/>
      <c r="G112" s="18"/>
      <c r="H112" s="103"/>
      <c r="I112" s="73"/>
      <c r="J112" s="73"/>
      <c r="K112" s="73"/>
      <c r="L112" s="73"/>
    </row>
    <row r="113" spans="1:13" ht="15" customHeight="1">
      <c r="A113" s="1" t="s">
        <v>87</v>
      </c>
      <c r="B113" s="15">
        <f>+GETPIVOTDATA("Undergrad Student Credit Hour  FTE - Old",'FTE Pivot for regular counts'!$A$2,"State","MS","Category","7","Category2","Two-Year")</f>
        <v>0</v>
      </c>
      <c r="C113" s="15">
        <f>+GETPIVOTDATA("Undergrad Student Credit Hour  FTE - Old",'FTE Pivot for regular counts'!$A$2,"State","MS","Category","8","Category2","Two-Year")</f>
        <v>34868.166666666664</v>
      </c>
      <c r="D113" s="15">
        <f>+GETPIVOTDATA("Undergrad Student Credit Hour  FTE - Old",'FTE Pivot for regular counts'!$A$2,"State","MS","Category","9","Category2","Two-Year")</f>
        <v>35043.466666666674</v>
      </c>
      <c r="E113" s="15">
        <f>+GETPIVOTDATA("Undergrad Student Credit Hour  FTE - Old",'FTE Pivot for regular counts'!$A$2,"State","MS","Category","10","Category2","Two-Year")</f>
        <v>3999.166666666667</v>
      </c>
      <c r="F113" s="23">
        <f>+GETPIVOTDATA("Undergrad Student Credit Hour  FTE - Old",'FTE Pivot for regular counts'!$A$2,"State","MS","Category2","Two-Year")</f>
        <v>73910.8</v>
      </c>
      <c r="G113" s="18">
        <f>+GETPIVOTDATA("Undergrad Student Credit Hour  FTE - Old",'FTE Pivot for regular counts'!$A$2,"State","MS","Category","12","Category2","Technical")</f>
        <v>0</v>
      </c>
      <c r="H113" s="103">
        <f>+GETPIVOTDATA("Undergrad Student Credit Hour  FTE - Old",'FTE Pivot for regular counts'!$A$2,"State","MS","Category","13","Category2","Technical")</f>
        <v>0</v>
      </c>
      <c r="I113" s="73">
        <f>+GETPIVOTDATA("Undergrad Student Credit Hour  FTE - Old",'FTE Pivot for regular counts'!$A$2,"State","MS","Category2","Technical")</f>
        <v>0</v>
      </c>
      <c r="J113" s="73"/>
      <c r="K113" s="73"/>
      <c r="L113" s="73"/>
    </row>
    <row r="114" spans="1:13" ht="15" customHeight="1">
      <c r="A114" s="1" t="s">
        <v>88</v>
      </c>
      <c r="B114" s="15">
        <f>+GETPIVOTDATA("Undergrad Student Credit Hour  FTE - Old",'FTE Pivot for regular counts'!$A$2,"State","NC","Category","7","Category2","Two-Year")</f>
        <v>0</v>
      </c>
      <c r="C114" s="15">
        <f>+GETPIVOTDATA("Undergrad Student Credit Hour  FTE - Old",'FTE Pivot for regular counts'!$A$2,"State","NC","Category","8","Category2","Two-Year")</f>
        <v>80872.533333333326</v>
      </c>
      <c r="D114" s="15">
        <f>+GETPIVOTDATA("Undergrad Student Credit Hour  FTE - Old",'FTE Pivot for regular counts'!$A$2,"State","NC","Category","9","Category2","Two-Year")</f>
        <v>70944.066666666666</v>
      </c>
      <c r="E114" s="15">
        <f>+GETPIVOTDATA("Undergrad Student Credit Hour  FTE - Old",'FTE Pivot for regular counts'!$A$2,"State","NC","Category","10","Category2","Two-Year")</f>
        <v>29508.333333333332</v>
      </c>
      <c r="F114" s="23">
        <f>+GETPIVOTDATA("Undergrad Student Credit Hour  FTE - Old",'FTE Pivot for regular counts'!$A$2,"State","NC","Category2","Two-Year")</f>
        <v>181324.93333333332</v>
      </c>
      <c r="G114" s="18">
        <f>+GETPIVOTDATA("Undergrad Student Credit Hour  FTE - Old",'FTE Pivot for regular counts'!$A$2,"State","NC","Category","12","Category2","Technical")</f>
        <v>0</v>
      </c>
      <c r="H114" s="103">
        <f>+GETPIVOTDATA("Undergrad Student Credit Hour  FTE - Old",'FTE Pivot for regular counts'!$A$2,"State","NC","Category","13","Category2","Technical")</f>
        <v>0</v>
      </c>
      <c r="I114" s="73">
        <f>+GETPIVOTDATA("Undergrad Student Credit Hour  FTE - Old",'FTE Pivot for regular counts'!$A$2,"State","NC","Category2","Technical")</f>
        <v>0</v>
      </c>
      <c r="J114" s="73"/>
      <c r="K114" s="73"/>
      <c r="L114" s="73"/>
    </row>
    <row r="115" spans="1:13" ht="15" customHeight="1">
      <c r="A115" s="1" t="s">
        <v>89</v>
      </c>
      <c r="B115" s="15">
        <f>+GETPIVOTDATA("Undergrad Student Credit Hour  FTE - Old",'FTE Pivot for regular counts'!$A$2,"State","OK","Category","7","Category2","Two-Year")</f>
        <v>8546.2000000000007</v>
      </c>
      <c r="C115" s="15">
        <f>+GETPIVOTDATA("Undergrad Student Credit Hour  FTE - Old",'FTE Pivot for regular counts'!$A$2,"State","OK","Category","8","Category2","Two-Year")</f>
        <v>28868.533333333333</v>
      </c>
      <c r="D115" s="15">
        <f>+GETPIVOTDATA("Undergrad Student Credit Hour  FTE - Old",'FTE Pivot for regular counts'!$A$2,"State","OK","Category","9","Category2","Two-Year")</f>
        <v>3750.1333333333332</v>
      </c>
      <c r="E115" s="15">
        <f>+GETPIVOTDATA("Undergrad Student Credit Hour  FTE - Old",'FTE Pivot for regular counts'!$A$2,"State","OK","Category","10","Category2","Two-Year")</f>
        <v>14858</v>
      </c>
      <c r="F115" s="23">
        <f>+GETPIVOTDATA("Undergrad Student Credit Hour  FTE - Old",'FTE Pivot for regular counts'!$A$2,"State","OK","Category2","Two-Year")</f>
        <v>56022.866666666669</v>
      </c>
      <c r="G115" s="18">
        <f>+GETPIVOTDATA("Undergrad Student Credit Hour  FTE - Old",'FTE Pivot for regular counts'!$A$2,"State","OK","Category","12","Category2","Technical")</f>
        <v>0</v>
      </c>
      <c r="H115" s="103">
        <f>+GETPIVOTDATA("Undergrad Student Credit Hour  FTE - Old",'FTE Pivot for regular counts'!$A$2,"State","OK","Category","13","Category2","Technical")</f>
        <v>0</v>
      </c>
      <c r="I115" s="73">
        <f>+GETPIVOTDATA("Undergrad Student Credit Hour  FTE - Old",'FTE Pivot for regular counts'!$A$2,"State","OK","Category2","Technical")</f>
        <v>0</v>
      </c>
      <c r="J115" s="73"/>
      <c r="K115" s="73"/>
      <c r="L115" s="73"/>
    </row>
    <row r="116" spans="1:13" ht="15" customHeight="1">
      <c r="A116" s="1" t="s">
        <v>90</v>
      </c>
      <c r="B116" s="15">
        <f>+GETPIVOTDATA("Undergrad Student Credit Hour  FTE - Old",'FTE Pivot for regular counts'!$A$2,"State","SC","Category","7","Category2","Two-Year")</f>
        <v>0</v>
      </c>
      <c r="C116" s="15">
        <f>+GETPIVOTDATA("Undergrad Student Credit Hour  FTE - Old",'FTE Pivot for regular counts'!$A$2,"State","SC","Category","8","Category2","Two-Year")</f>
        <v>47656.1</v>
      </c>
      <c r="D116" s="15">
        <f>+GETPIVOTDATA("Undergrad Student Credit Hour  FTE - Old",'FTE Pivot for regular counts'!$A$2,"State","SC","Category","9","Category2","Two-Year")</f>
        <v>29146.000000000004</v>
      </c>
      <c r="E116" s="15">
        <f>+GETPIVOTDATA("Undergrad Student Credit Hour  FTE - Old",'FTE Pivot for regular counts'!$A$2,"State","SC","Category","10","Category2","Two-Year")</f>
        <v>8331.5333333333347</v>
      </c>
      <c r="F116" s="23">
        <f>+GETPIVOTDATA("Undergrad Student Credit Hour  FTE - Old",'FTE Pivot for regular counts'!$A$2,"State","SC","Category2","Two-Year")</f>
        <v>85133.633333333346</v>
      </c>
      <c r="G116" s="18">
        <f>+GETPIVOTDATA("Undergrad Student Credit Hour  FTE - Old",'FTE Pivot for regular counts'!$A$2,"State","SC","Category","12","Category2","Technical")</f>
        <v>0</v>
      </c>
      <c r="H116" s="103">
        <f>+GETPIVOTDATA("Undergrad Student Credit Hour  FTE - Old",'FTE Pivot for regular counts'!$A$2,"State","SC","Category","13","Category2","Technical")</f>
        <v>0</v>
      </c>
      <c r="I116" s="73">
        <f>+GETPIVOTDATA("Undergrad Student Credit Hour  FTE - Old",'FTE Pivot for regular counts'!$A$2,"State","SC","Category2","Technical")</f>
        <v>0</v>
      </c>
      <c r="J116" s="73"/>
      <c r="K116" s="73"/>
      <c r="L116" s="73"/>
    </row>
    <row r="117" spans="1:13" ht="15" customHeight="1">
      <c r="B117" s="15"/>
      <c r="C117" s="15"/>
      <c r="D117" s="15"/>
      <c r="E117" s="15"/>
      <c r="F117" s="23"/>
      <c r="G117" s="18"/>
      <c r="H117" s="103"/>
      <c r="I117" s="73"/>
      <c r="J117" s="73"/>
      <c r="K117" s="73"/>
      <c r="L117" s="73"/>
    </row>
    <row r="118" spans="1:13" ht="15" customHeight="1">
      <c r="A118" s="1" t="s">
        <v>91</v>
      </c>
      <c r="B118" s="15">
        <f>+GETPIVOTDATA("Undergrad Student Credit Hour  FTE - Old",'FTE Pivot for regular counts'!$A$2,"State","TN","Category","7","Category2","Two-Year")</f>
        <v>0</v>
      </c>
      <c r="C118" s="15">
        <f>+GETPIVOTDATA("Undergrad Student Credit Hour  FTE - Old",'FTE Pivot for regular counts'!$A$2,"State","TN","Category","8","Category2","Two-Year")</f>
        <v>36542.833333333336</v>
      </c>
      <c r="D118" s="15">
        <f>+GETPIVOTDATA("Undergrad Student Credit Hour  FTE - Old",'FTE Pivot for regular counts'!$A$2,"State","TN","Category","9","Category2","Two-Year")</f>
        <v>30379.800000000003</v>
      </c>
      <c r="E118" s="15">
        <f>+GETPIVOTDATA("Undergrad Student Credit Hour  FTE - Old",'FTE Pivot for regular counts'!$A$2,"State","TN","Category","10","Category2","Two-Year")</f>
        <v>0</v>
      </c>
      <c r="F118" s="23">
        <f>+GETPIVOTDATA("Undergrad Student Credit Hour  FTE - Old",'FTE Pivot for regular counts'!$A$2,"State","TN","Category2","Two-Year")</f>
        <v>66922.633333333331</v>
      </c>
      <c r="G118" s="18">
        <f>+GETPIVOTDATA("Undergrad Student Credit Hour  FTE - Old",'FTE Pivot for regular counts'!$A$2,"State","TN","Category","12","Category2","Technical")</f>
        <v>0</v>
      </c>
      <c r="H118" s="103">
        <f>+GETPIVOTDATA("Undergrad Student Credit Hour  FTE - Old",'FTE Pivot for regular counts'!$A$2,"State","TN","Category","13","Category2","Technical")</f>
        <v>0</v>
      </c>
      <c r="I118" s="73">
        <f>+GETPIVOTDATA("Undergrad Student Credit Hour  FTE - Old",'FTE Pivot for regular counts'!$A$2,"State","TN","Category2","Technical")</f>
        <v>0</v>
      </c>
      <c r="J118" s="73"/>
      <c r="K118" s="73"/>
      <c r="L118" s="73"/>
    </row>
    <row r="119" spans="1:13" ht="15" customHeight="1">
      <c r="A119" s="1" t="s">
        <v>92</v>
      </c>
      <c r="B119" s="15">
        <f>+GETPIVOTDATA("Undergrad Student Credit Hour  FTE - Old",'FTE Pivot for regular counts'!$A$2,"State","TX","Category","7","Category2","Two-Year")</f>
        <v>24936.866666666665</v>
      </c>
      <c r="C119" s="15">
        <f>+GETPIVOTDATA("Undergrad Student Credit Hour  FTE - Old",'FTE Pivot for regular counts'!$A$2,"State","TX","Category","8","Category2","Two-Year")</f>
        <v>372371.03333333344</v>
      </c>
      <c r="D119" s="15">
        <f>+GETPIVOTDATA("Undergrad Student Credit Hour  FTE - Old",'FTE Pivot for regular counts'!$A$2,"State","TX","Category","9","Category2","Two-Year")</f>
        <v>81383.166666666672</v>
      </c>
      <c r="E119" s="15">
        <f>+GETPIVOTDATA("Undergrad Student Credit Hour  FTE - Old",'FTE Pivot for regular counts'!$A$2,"State","TX","Category","10","Category2","Two-Year")</f>
        <v>13711.800000000001</v>
      </c>
      <c r="F119" s="23">
        <f>+GETPIVOTDATA("Undergrad Student Credit Hour  FTE - Old",'FTE Pivot for regular counts'!$A$2,"State","TX","Category2","Two-Year")</f>
        <v>492402.86666666676</v>
      </c>
      <c r="G119" s="18">
        <f>+GETPIVOTDATA("Undergrad Student Credit Hour  FTE - Old",'FTE Pivot for regular counts'!$A$2,"State","TX","Category","12","Category2","Technical")</f>
        <v>0</v>
      </c>
      <c r="H119" s="103">
        <f>+GETPIVOTDATA("Undergrad Student Credit Hour  FTE - Old",'FTE Pivot for regular counts'!$A$2,"State","TX","Category","13","Category2","Technical")</f>
        <v>0</v>
      </c>
      <c r="I119" s="73">
        <f>+GETPIVOTDATA("Undergrad Student Credit Hour  FTE - Old",'FTE Pivot for regular counts'!$A$2,"State","TX","Category2","Technical")</f>
        <v>0</v>
      </c>
      <c r="J119" s="73"/>
      <c r="K119" s="73"/>
      <c r="L119" s="73"/>
    </row>
    <row r="120" spans="1:13" ht="15" customHeight="1">
      <c r="A120" s="1" t="s">
        <v>93</v>
      </c>
      <c r="B120" s="15">
        <f>+GETPIVOTDATA("Undergrad Student Credit Hour  FTE - Old",'FTE Pivot for regular counts'!$A$2,"State","VA","Category","7","Category2","Two-Year")</f>
        <v>0</v>
      </c>
      <c r="C120" s="15">
        <f>+GETPIVOTDATA("Undergrad Student Credit Hour  FTE - Old",'FTE Pivot for regular counts'!$A$2,"State","VA","Category","8","Category2","Two-Year")</f>
        <v>70279.899999999994</v>
      </c>
      <c r="D120" s="15">
        <f>+GETPIVOTDATA("Undergrad Student Credit Hour  FTE - Old",'FTE Pivot for regular counts'!$A$2,"State","VA","Category","9","Category2","Two-Year")</f>
        <v>46073.933333333342</v>
      </c>
      <c r="E120" s="15">
        <f>+GETPIVOTDATA("Undergrad Student Credit Hour  FTE - Old",'FTE Pivot for regular counts'!$A$2,"State","VA","Category","10","Category2","Two-Year")</f>
        <v>9766.3666666666668</v>
      </c>
      <c r="F120" s="23">
        <f>+GETPIVOTDATA("Undergrad Student Credit Hour  FTE - Old",'FTE Pivot for regular counts'!$A$2,"State","VA","Category2","Two-Year")</f>
        <v>126120.20000000001</v>
      </c>
      <c r="G120" s="18">
        <f>+GETPIVOTDATA("Undergrad Student Credit Hour  FTE - Old",'FTE Pivot for regular counts'!$A$2,"State","VA","Category","12","Category2","Technical")</f>
        <v>0</v>
      </c>
      <c r="H120" s="103">
        <f>+GETPIVOTDATA("Undergrad Student Credit Hour  FTE - Old",'FTE Pivot for regular counts'!$A$2,"State","VA","Category","13","Category2","Technical")</f>
        <v>0</v>
      </c>
      <c r="I120" s="73">
        <f>+GETPIVOTDATA("Undergrad Student Credit Hour  FTE - Old",'FTE Pivot for regular counts'!$A$2,"State","VA","Category2","Technical")</f>
        <v>0</v>
      </c>
      <c r="J120" s="73"/>
      <c r="K120" s="73"/>
      <c r="L120" s="73"/>
    </row>
    <row r="121" spans="1:13" ht="15" customHeight="1">
      <c r="A121" s="3" t="s">
        <v>94</v>
      </c>
      <c r="B121" s="6">
        <f>+GETPIVOTDATA("Undergrad Student Credit Hour  FTE - Old",'FTE Pivot for regular counts'!$A$2,"State","WV","Category","7","Category2","Two-Year")</f>
        <v>4993.0333333333328</v>
      </c>
      <c r="C121" s="6">
        <f>+GETPIVOTDATA("Undergrad Student Credit Hour  FTE - Old",'FTE Pivot for regular counts'!$A$2,"State","WV","Category","8","Category2","Two-Year")</f>
        <v>0</v>
      </c>
      <c r="D121" s="6">
        <f>+GETPIVOTDATA("Undergrad Student Credit Hour  FTE - Old",'FTE Pivot for regular counts'!$A$2,"State","WV","Category","9","Category2","Two-Year")</f>
        <v>2555.5433333333335</v>
      </c>
      <c r="E121" s="6">
        <f>+GETPIVOTDATA("Undergrad Student Credit Hour  FTE - Old",'FTE Pivot for regular counts'!$A$2,"State","WV","Category","10","Category2","Two-Year")</f>
        <v>11955.54</v>
      </c>
      <c r="F121" s="24">
        <f>+GETPIVOTDATA("Undergrad Student Credit Hour  FTE - Old",'FTE Pivot for regular counts'!$A$2,"State","WV","Category2","Two-Year")</f>
        <v>19504.116666666669</v>
      </c>
      <c r="G121" s="19">
        <f>+GETPIVOTDATA("Undergrad Student Credit Hour  FTE - Old",'FTE Pivot for regular counts'!$A$2,"State","WV","Category","12","Category2","Technical")</f>
        <v>0</v>
      </c>
      <c r="H121" s="116">
        <f>+GETPIVOTDATA("Undergrad Student Credit Hour  FTE - Old",'FTE Pivot for regular counts'!$A$2,"State","WV","Category","13","Category2","Technical")</f>
        <v>0</v>
      </c>
      <c r="I121" s="83">
        <f>+GETPIVOTDATA("Undergrad Student Credit Hour  FTE - Old",'FTE Pivot for regular counts'!$A$2,"State","WV","Category2","Technical")</f>
        <v>0</v>
      </c>
      <c r="J121" s="73"/>
      <c r="K121" s="73"/>
      <c r="L121" s="73"/>
    </row>
    <row r="122" spans="1:13" s="25" customFormat="1" ht="9.9499999999999993" customHeight="1">
      <c r="A122" s="76"/>
      <c r="B122" s="16"/>
      <c r="C122" s="16"/>
      <c r="D122" s="16"/>
      <c r="E122" s="16"/>
      <c r="F122" s="16"/>
      <c r="G122" s="16"/>
      <c r="H122" s="109"/>
      <c r="I122" s="16"/>
      <c r="J122" s="103"/>
      <c r="K122" s="103"/>
      <c r="L122" s="103"/>
      <c r="M122" s="103"/>
    </row>
    <row r="123" spans="1:13" ht="42.75" customHeight="1">
      <c r="A123" s="814" t="s">
        <v>1004</v>
      </c>
      <c r="B123" s="822"/>
      <c r="C123" s="822"/>
      <c r="D123" s="822"/>
      <c r="E123" s="822"/>
      <c r="F123" s="822"/>
      <c r="G123" s="822"/>
      <c r="H123" s="822"/>
      <c r="I123" s="822"/>
      <c r="J123" s="822"/>
      <c r="K123" s="270"/>
      <c r="L123" s="270"/>
      <c r="M123" s="200"/>
    </row>
    <row r="124" spans="1:13">
      <c r="J124" s="169" t="s">
        <v>1018</v>
      </c>
      <c r="K124" s="169"/>
      <c r="L124" s="169"/>
      <c r="M124" s="201"/>
    </row>
    <row r="125" spans="1:13" ht="18">
      <c r="A125" s="812" t="s">
        <v>226</v>
      </c>
      <c r="B125" s="812"/>
      <c r="C125" s="812"/>
      <c r="D125" s="812"/>
      <c r="E125" s="812"/>
      <c r="F125" s="812"/>
      <c r="G125" s="812"/>
      <c r="H125" s="812"/>
      <c r="I125" s="812"/>
      <c r="J125" s="812"/>
      <c r="K125" s="271"/>
      <c r="L125" s="271"/>
      <c r="M125" s="178"/>
    </row>
    <row r="126" spans="1:13" ht="15.75">
      <c r="A126" s="77"/>
      <c r="B126" s="17"/>
      <c r="C126" s="43"/>
      <c r="D126" s="55"/>
      <c r="E126" s="17"/>
      <c r="F126" s="17"/>
      <c r="G126" s="17"/>
      <c r="H126" s="117"/>
      <c r="I126" s="17"/>
      <c r="J126" s="117"/>
      <c r="K126" s="117"/>
      <c r="L126" s="117"/>
    </row>
    <row r="127" spans="1:13" ht="15.75">
      <c r="A127" s="813" t="s">
        <v>46</v>
      </c>
      <c r="B127" s="813"/>
      <c r="C127" s="813"/>
      <c r="D127" s="813"/>
      <c r="E127" s="813"/>
      <c r="F127" s="813"/>
      <c r="G127" s="813"/>
      <c r="H127" s="813"/>
      <c r="I127" s="813"/>
      <c r="J127" s="813"/>
      <c r="K127" s="272"/>
      <c r="L127" s="272"/>
    </row>
    <row r="128" spans="1:13" ht="15.75">
      <c r="A128" s="813" t="s">
        <v>1007</v>
      </c>
      <c r="B128" s="813"/>
      <c r="C128" s="813"/>
      <c r="D128" s="813"/>
      <c r="E128" s="813"/>
      <c r="F128" s="813"/>
      <c r="G128" s="813"/>
      <c r="H128" s="813"/>
      <c r="I128" s="813"/>
      <c r="J128" s="813"/>
      <c r="K128" s="272"/>
      <c r="L128" s="272"/>
    </row>
    <row r="129" spans="1:12">
      <c r="A129" s="22"/>
      <c r="B129" s="22"/>
      <c r="C129" s="22"/>
      <c r="D129" s="22"/>
      <c r="E129" s="22"/>
      <c r="F129" s="22"/>
      <c r="G129" s="22"/>
      <c r="H129" s="106"/>
      <c r="I129" s="22"/>
      <c r="J129" s="106"/>
      <c r="K129" s="106"/>
      <c r="L129" s="106"/>
    </row>
    <row r="130" spans="1:12">
      <c r="A130" s="61"/>
      <c r="B130" s="56" t="s">
        <v>78</v>
      </c>
      <c r="C130" s="56"/>
      <c r="D130" s="27"/>
      <c r="E130" s="27"/>
      <c r="F130" s="27"/>
      <c r="G130" s="57" t="s">
        <v>56</v>
      </c>
      <c r="H130" s="91"/>
      <c r="I130" s="92"/>
      <c r="J130" s="170" t="s">
        <v>39</v>
      </c>
      <c r="K130" s="170" t="s">
        <v>39</v>
      </c>
      <c r="L130" s="170"/>
    </row>
    <row r="131" spans="1:12" ht="24">
      <c r="A131" s="45"/>
      <c r="B131" s="58" t="s">
        <v>156</v>
      </c>
      <c r="C131" s="46">
        <v>1</v>
      </c>
      <c r="D131" s="46">
        <v>2</v>
      </c>
      <c r="E131" s="46">
        <v>3</v>
      </c>
      <c r="F131" s="46" t="s">
        <v>41</v>
      </c>
      <c r="G131" s="60">
        <v>1</v>
      </c>
      <c r="H131" s="94">
        <v>2</v>
      </c>
      <c r="I131" s="93" t="s">
        <v>41</v>
      </c>
      <c r="J131" s="123"/>
      <c r="K131" s="123"/>
      <c r="L131" s="123"/>
    </row>
    <row r="132" spans="1:12" ht="15" customHeight="1">
      <c r="A132" s="1" t="s">
        <v>79</v>
      </c>
      <c r="B132" s="7">
        <f>+GETPIVOTDATA(" Undergrad Contact Hour FTE - Old",'FTE Pivot for regular counts'!$A$2,"Category","7","Category2","Two-Year")</f>
        <v>19623.815555555557</v>
      </c>
      <c r="C132" s="7">
        <f>+GETPIVOTDATA(" Undergrad Contact Hour FTE - Old",'FTE Pivot for regular counts'!$A$2,"Category","8","Category2","Two-Year")</f>
        <v>26947.315555555557</v>
      </c>
      <c r="D132" s="7">
        <f>+GETPIVOTDATA(" Undergrad Contact Hour FTE - Old",'FTE Pivot for regular counts'!$A$2,"Category","9","Category2","Two-Year")</f>
        <v>7645.55</v>
      </c>
      <c r="E132" s="7">
        <f>+GETPIVOTDATA(" Undergrad Contact Hour FTE - Old",'FTE Pivot for regular counts'!$A$2,"Category","10","Category2","Two-Year")</f>
        <v>1073.4944444444443</v>
      </c>
      <c r="F132" s="8">
        <f>+GETPIVOTDATA(" Undergrad Contact Hour FTE - Old",'FTE Pivot for regular counts'!$A$2,"Category2","Two-Year")</f>
        <v>55290.175555555557</v>
      </c>
      <c r="G132" s="7">
        <f>+GETPIVOTDATA(" Undergrad Contact Hour FTE - Old",'FTE Pivot for regular counts'!$A$2,"Category","12","Category2","Technical")</f>
        <v>4723.4119777777778</v>
      </c>
      <c r="H132" s="118">
        <f>+GETPIVOTDATA(" Undergrad Contact Hour FTE - Old",'FTE Pivot for regular counts'!$A$2,"Category","13","Category2","Technical")</f>
        <v>30199.296344444447</v>
      </c>
      <c r="I132" s="118">
        <f>+GETPIVOTDATA(" Undergrad Contact Hour FTE - Old",'FTE Pivot for regular counts'!$A$2,"Category2","Technical")</f>
        <v>34922.708322222228</v>
      </c>
      <c r="J132" s="119"/>
      <c r="K132" s="118"/>
      <c r="L132" s="118"/>
    </row>
    <row r="133" spans="1:12" ht="15" customHeight="1">
      <c r="B133" s="7"/>
      <c r="C133" s="32"/>
      <c r="D133" s="32"/>
      <c r="G133" s="31"/>
      <c r="I133" s="4"/>
      <c r="J133" s="73"/>
    </row>
    <row r="134" spans="1:12" ht="15" customHeight="1">
      <c r="A134" s="1" t="s">
        <v>80</v>
      </c>
      <c r="B134" s="7">
        <f>+GETPIVOTDATA(" Undergrad Contact Hour FTE - Old",'FTE Pivot for regular counts'!$A$2,"State","AL","Category","7","Category2","Two-Year")</f>
        <v>0</v>
      </c>
      <c r="C134" s="7">
        <f>+GETPIVOTDATA(" Undergrad Contact Hour FTE - Old",'FTE Pivot for regular counts'!$A$2,"State","AL","Category","8","Category2","Two-Year")</f>
        <v>0</v>
      </c>
      <c r="D134" s="7">
        <f>+GETPIVOTDATA(" Undergrad Contact Hour FTE - Old",'FTE Pivot for regular counts'!$A$2,"State","AL","Category","9","Category2","Two-Year")</f>
        <v>0</v>
      </c>
      <c r="E134" s="7">
        <f>+GETPIVOTDATA(" Undergrad Contact Hour FTE - Old",'FTE Pivot for regular counts'!$A$2,"State","AL","Category","10","Category2","Two-Year")</f>
        <v>0</v>
      </c>
      <c r="F134" s="8">
        <f>+GETPIVOTDATA(" Undergrad Contact Hour FTE - Old",'FTE Pivot for regular counts'!$A$2,"State","AL","Category2","Two-Year")</f>
        <v>0</v>
      </c>
      <c r="G134" s="7">
        <f>+GETPIVOTDATA(" Undergrad Contact Hour FTE - Old",'FTE Pivot for regular counts'!$A$2,"State","AL","Category","12","Category2","Technical")</f>
        <v>0</v>
      </c>
      <c r="H134" s="118">
        <f>+GETPIVOTDATA(" Undergrad Contact Hour FTE - Old",'FTE Pivot for regular counts'!$A$2,"State","AL","Category","13","Category2","Technical")</f>
        <v>0</v>
      </c>
      <c r="I134" s="118">
        <f>+GETPIVOTDATA(" Undergrad Contact Hour FTE - Old",'FTE Pivot for regular counts'!$A$2,"State","AL","Category2","Technical")</f>
        <v>0</v>
      </c>
      <c r="J134" s="119"/>
      <c r="K134" s="118"/>
      <c r="L134" s="118"/>
    </row>
    <row r="135" spans="1:12" ht="15" customHeight="1">
      <c r="A135" s="1" t="s">
        <v>81</v>
      </c>
      <c r="B135" s="32">
        <f>+GETPIVOTDATA(" Undergrad Contact Hour FTE - Old",'FTE Pivot for regular counts'!$A$2,"State","AR","Category","7","Category2","Two-Year")</f>
        <v>0</v>
      </c>
      <c r="C135" s="32">
        <f>+GETPIVOTDATA(" Undergrad Contact Hour FTE - Old",'FTE Pivot for regular counts'!$A$2,"State","AR","Category","8","Category2","Two-Year")</f>
        <v>0</v>
      </c>
      <c r="D135" s="32">
        <f>+GETPIVOTDATA(" Undergrad Contact Hour FTE - Old",'FTE Pivot for regular counts'!$A$2,"State","AR","Category","9","Category2","Two-Year")</f>
        <v>0</v>
      </c>
      <c r="E135" s="32">
        <f>+GETPIVOTDATA(" Undergrad Contact Hour FTE - Old",'FTE Pivot for regular counts'!$A$2,"State","AR","Category","10","Category2","Two-Year")</f>
        <v>0</v>
      </c>
      <c r="F135" s="8">
        <f>+GETPIVOTDATA(" Undergrad Contact Hour FTE - Old",'FTE Pivot for regular counts'!$A$2,"State","AR","Category2","Two-Year")</f>
        <v>0</v>
      </c>
      <c r="G135" s="32">
        <f>+GETPIVOTDATA(" Undergrad Contact Hour FTE - Old",'FTE Pivot for regular counts'!$A$2,"State","AR","Category","12","Category2","Technical")</f>
        <v>0</v>
      </c>
      <c r="H135" s="119">
        <f>+GETPIVOTDATA(" Undergrad Contact Hour FTE - Old",'FTE Pivot for regular counts'!$A$2,"State","AR","Category","13","Category2","Technical")</f>
        <v>0</v>
      </c>
      <c r="I135" s="119">
        <f>+GETPIVOTDATA(" Undergrad Contact Hour FTE - Old",'FTE Pivot for regular counts'!$A$2,"State","AR","Category2","Technical")</f>
        <v>0</v>
      </c>
      <c r="J135" s="119"/>
      <c r="K135" s="119"/>
      <c r="L135" s="119"/>
    </row>
    <row r="136" spans="1:12" ht="15" customHeight="1">
      <c r="A136" s="1" t="s">
        <v>118</v>
      </c>
      <c r="B136" s="32">
        <f>+GETPIVOTDATA(" Undergrad Contact Hour FTE - Old",'FTE Pivot for regular counts'!$A$2,"State","DE","Category","7","Category2","Two-Year")</f>
        <v>0</v>
      </c>
      <c r="C136" s="32">
        <f>+GETPIVOTDATA(" Undergrad Contact Hour FTE - Old",'FTE Pivot for regular counts'!$A$2,"State","DE","Category","8","Category2","Two-Year")</f>
        <v>0</v>
      </c>
      <c r="D136" s="32">
        <f>+GETPIVOTDATA(" Undergrad Contact Hour FTE - Old",'FTE Pivot for regular counts'!$A$2,"State","DE","Category","9","Category2","Two-Year")</f>
        <v>0</v>
      </c>
      <c r="E136" s="32">
        <f>+GETPIVOTDATA(" Undergrad Contact Hour FTE - Old",'FTE Pivot for regular counts'!$A$2,"State","DE","Category","10","Category2","Two-Year")</f>
        <v>0</v>
      </c>
      <c r="F136" s="8">
        <f>+GETPIVOTDATA(" Undergrad Contact Hour FTE - Old",'FTE Pivot for regular counts'!$A$2,"State","DE","Category2","Two-Year")</f>
        <v>0</v>
      </c>
      <c r="G136" s="32">
        <f>+GETPIVOTDATA(" Undergrad Contact Hour FTE - Old",'FTE Pivot for regular counts'!$A$2,"State","DE","Category","12","Category2","Technical")</f>
        <v>0</v>
      </c>
      <c r="H136" s="119">
        <f>+GETPIVOTDATA(" Undergrad Contact Hour FTE - Old",'FTE Pivot for regular counts'!$A$2,"State","DE","Category","13","Category2","Technical")</f>
        <v>0</v>
      </c>
      <c r="I136" s="119">
        <f>+GETPIVOTDATA(" Undergrad Contact Hour FTE - Old",'FTE Pivot for regular counts'!$A$2,"State","DE","Category2","Technical")</f>
        <v>0</v>
      </c>
      <c r="J136" s="119"/>
      <c r="K136" s="119"/>
      <c r="L136" s="119"/>
    </row>
    <row r="137" spans="1:12" ht="15" customHeight="1">
      <c r="A137" s="1" t="s">
        <v>82</v>
      </c>
      <c r="B137" s="32">
        <f>+GETPIVOTDATA(" Undergrad Contact Hour FTE - Old",'FTE Pivot for regular counts'!$A$2,"State","FL","Category","7","Category2","Two-Year")</f>
        <v>19079.333333333336</v>
      </c>
      <c r="C137" s="32">
        <f>+GETPIVOTDATA(" Undergrad Contact Hour FTE - Old",'FTE Pivot for regular counts'!$A$2,"State","FL","Category","8","Category2","Two-Year")</f>
        <v>11940.693333333333</v>
      </c>
      <c r="D137" s="32">
        <f>+GETPIVOTDATA(" Undergrad Contact Hour FTE - Old",'FTE Pivot for regular counts'!$A$2,"State","FL","Category","9","Category2","Two-Year")</f>
        <v>2463.7033333333338</v>
      </c>
      <c r="E137" s="32">
        <f>+GETPIVOTDATA(" Undergrad Contact Hour FTE - Old",'FTE Pivot for regular counts'!$A$2,"State","FL","Category","10","Category2","Two-Year")</f>
        <v>169.26222222222219</v>
      </c>
      <c r="F137" s="8">
        <f>+GETPIVOTDATA(" Undergrad Contact Hour FTE - Old",'FTE Pivot for regular counts'!$A$2,"State","FL","Category2","Two-Year")</f>
        <v>33652.992222222223</v>
      </c>
      <c r="G137" s="32">
        <f>+GETPIVOTDATA(" Undergrad Contact Hour FTE - Old",'FTE Pivot for regular counts'!$A$2,"State","FL","Category","12","Category2","Technical")</f>
        <v>0</v>
      </c>
      <c r="H137" s="119">
        <f>+GETPIVOTDATA(" Undergrad Contact Hour FTE - Old",'FTE Pivot for regular counts'!$A$2,"State","FL","Category","13","Category2","Technical")</f>
        <v>0</v>
      </c>
      <c r="I137" s="119">
        <f>+GETPIVOTDATA(" Undergrad Contact Hour FTE - Old",'FTE Pivot for regular counts'!$A$2,"State","FL","Category2","Technical")</f>
        <v>0</v>
      </c>
      <c r="J137" s="119"/>
      <c r="K137" s="119"/>
      <c r="L137" s="119"/>
    </row>
    <row r="138" spans="1:12" ht="15" customHeight="1">
      <c r="B138" s="32"/>
      <c r="C138" s="32"/>
      <c r="D138" s="32"/>
      <c r="E138" s="32"/>
      <c r="F138" s="8"/>
      <c r="G138" s="32"/>
      <c r="H138" s="119"/>
      <c r="I138" s="119"/>
      <c r="J138" s="119"/>
      <c r="K138" s="119"/>
      <c r="L138" s="119"/>
    </row>
    <row r="139" spans="1:12" ht="15" customHeight="1">
      <c r="A139" s="1" t="s">
        <v>83</v>
      </c>
      <c r="B139" s="32">
        <f>+GETPIVOTDATA(" Undergrad Contact Hour FTE - Old",'FTE Pivot for regular counts'!$A$2,"State","GA","Category","7","Category2","Two-Year")</f>
        <v>0</v>
      </c>
      <c r="C139" s="32">
        <f>+GETPIVOTDATA(" Undergrad Contact Hour FTE - Old",'FTE Pivot for regular counts'!$A$2,"State","GA","Category","8","Category2","Two-Year")</f>
        <v>0</v>
      </c>
      <c r="D139" s="32">
        <f>+GETPIVOTDATA(" Undergrad Contact Hour FTE - Old",'FTE Pivot for regular counts'!$A$2,"State","GA","Category","9","Category2","Two-Year")</f>
        <v>0</v>
      </c>
      <c r="E139" s="32">
        <f>+GETPIVOTDATA(" Undergrad Contact Hour FTE - Old",'FTE Pivot for regular counts'!$A$2,"State","GA","Category","10","Category2","Two-Year")</f>
        <v>0</v>
      </c>
      <c r="F139" s="8">
        <f>+GETPIVOTDATA(" Undergrad Contact Hour FTE - Old",'FTE Pivot for regular counts'!$A$2,"State","GA","Category2","Two-Year")</f>
        <v>0</v>
      </c>
      <c r="G139" s="32">
        <f>+GETPIVOTDATA(" Undergrad Contact Hour FTE - Old",'FTE Pivot for regular counts'!$A$2,"State","GA","Category","12","Category2","Technical")</f>
        <v>0</v>
      </c>
      <c r="H139" s="119">
        <f>+GETPIVOTDATA(" Undergrad Contact Hour FTE - Old",'FTE Pivot for regular counts'!$A$2,"State","GA","Category","13","Category2","Technical")</f>
        <v>0</v>
      </c>
      <c r="I139" s="119">
        <f>+GETPIVOTDATA(" Undergrad Contact Hour FTE - Old",'FTE Pivot for regular counts'!$A$2,"State","GA","Category2","Technical")</f>
        <v>0</v>
      </c>
      <c r="J139" s="119"/>
      <c r="K139" s="119"/>
      <c r="L139" s="119"/>
    </row>
    <row r="140" spans="1:12" ht="15" customHeight="1">
      <c r="A140" s="1" t="s">
        <v>84</v>
      </c>
      <c r="B140" s="32">
        <f>+GETPIVOTDATA(" Undergrad Contact Hour FTE - Old",'FTE Pivot for regular counts'!$A$2,"State","KY","Category","7","Category2","Two-Year")</f>
        <v>0</v>
      </c>
      <c r="C140" s="32">
        <f>+GETPIVOTDATA(" Undergrad Contact Hour FTE - Old",'FTE Pivot for regular counts'!$A$2,"State","KY","Category","8","Category2","Two-Year")</f>
        <v>0</v>
      </c>
      <c r="D140" s="32">
        <f>+GETPIVOTDATA(" Undergrad Contact Hour FTE - Old",'FTE Pivot for regular counts'!$A$2,"State","KY","Category","9","Category2","Two-Year")</f>
        <v>0</v>
      </c>
      <c r="E140" s="32">
        <f>+GETPIVOTDATA(" Undergrad Contact Hour FTE - Old",'FTE Pivot for regular counts'!$A$2,"State","KY","Category","10","Category2","Two-Year")</f>
        <v>0</v>
      </c>
      <c r="F140" s="8">
        <f>+GETPIVOTDATA(" Undergrad Contact Hour FTE - Old",'FTE Pivot for regular counts'!$A$2,"State","KY","Category2","Two-Year")</f>
        <v>0</v>
      </c>
      <c r="G140" s="32">
        <f>+GETPIVOTDATA(" Undergrad Contact Hour FTE - Old",'FTE Pivot for regular counts'!$A$2,"State","KY","Category","12","Category2","Technical")</f>
        <v>0</v>
      </c>
      <c r="H140" s="119">
        <f>+GETPIVOTDATA(" Undergrad Contact Hour FTE - Old",'FTE Pivot for regular counts'!$A$2,"State","KY","Category","13","Category2","Technical")</f>
        <v>0</v>
      </c>
      <c r="I140" s="119">
        <f>+GETPIVOTDATA(" Undergrad Contact Hour FTE - Old",'FTE Pivot for regular counts'!$A$2,"State","KY","Category2","Technical")</f>
        <v>0</v>
      </c>
      <c r="J140" s="119"/>
      <c r="K140" s="119"/>
      <c r="L140" s="119"/>
    </row>
    <row r="141" spans="1:12" ht="15" customHeight="1">
      <c r="A141" s="1" t="s">
        <v>85</v>
      </c>
      <c r="B141" s="32">
        <f>+GETPIVOTDATA(" Undergrad Contact Hour FTE - Old",'FTE Pivot for regular counts'!$A$2,"State","LA","Category","7","Category2","Two-Year")</f>
        <v>0</v>
      </c>
      <c r="C141" s="32">
        <f>+GETPIVOTDATA(" Undergrad Contact Hour FTE - Old",'FTE Pivot for regular counts'!$A$2,"State","LA","Category","8","Category2","Two-Year")</f>
        <v>0</v>
      </c>
      <c r="D141" s="32">
        <f>+GETPIVOTDATA(" Undergrad Contact Hour FTE - Old",'FTE Pivot for regular counts'!$A$2,"State","LA","Category","9","Category2","Two-Year")</f>
        <v>0</v>
      </c>
      <c r="E141" s="32">
        <f>+GETPIVOTDATA(" Undergrad Contact Hour FTE - Old",'FTE Pivot for regular counts'!$A$2,"State","LA","Category","10","Category2","Two-Year")</f>
        <v>0</v>
      </c>
      <c r="F141" s="8">
        <f>+GETPIVOTDATA(" Undergrad Contact Hour FTE - Old",'FTE Pivot for regular counts'!$A$2,"State","LA","Category2","Two-Year")</f>
        <v>0</v>
      </c>
      <c r="G141" s="32">
        <f>+GETPIVOTDATA(" Undergrad Contact Hour FTE - Old",'FTE Pivot for regular counts'!$A$2,"State","LA","Category","12","Category2","Technical")</f>
        <v>0</v>
      </c>
      <c r="H141" s="119">
        <f>+GETPIVOTDATA(" Undergrad Contact Hour FTE - Old",'FTE Pivot for regular counts'!$A$2,"State","LA","Category","13","Category2","Technical")</f>
        <v>0</v>
      </c>
      <c r="I141" s="119">
        <f>+GETPIVOTDATA(" Undergrad Contact Hour FTE - Old",'FTE Pivot for regular counts'!$A$2,"State","LA","Category2","Technical")</f>
        <v>0</v>
      </c>
      <c r="J141" s="119"/>
      <c r="K141" s="119"/>
      <c r="L141" s="119"/>
    </row>
    <row r="142" spans="1:12" ht="15" customHeight="1">
      <c r="A142" s="1" t="s">
        <v>86</v>
      </c>
      <c r="B142" s="32">
        <f>+GETPIVOTDATA(" Undergrad Contact Hour FTE - Old",'FTE Pivot for regular counts'!$A$2,"State","MD","Category","7","Category2","Two-Year")</f>
        <v>0</v>
      </c>
      <c r="C142" s="32">
        <f>+GETPIVOTDATA(" Undergrad Contact Hour FTE - Old",'FTE Pivot for regular counts'!$A$2,"State","MD","Category","8","Category2","Two-Year")</f>
        <v>0</v>
      </c>
      <c r="D142" s="32">
        <f>+GETPIVOTDATA(" Undergrad Contact Hour FTE - Old",'FTE Pivot for regular counts'!$A$2,"State","MD","Category","9","Category2","Two-Year")</f>
        <v>0</v>
      </c>
      <c r="E142" s="32">
        <f>+GETPIVOTDATA(" Undergrad Contact Hour FTE - Old",'FTE Pivot for regular counts'!$A$2,"State","MD","Category","10","Category2","Two-Year")</f>
        <v>0</v>
      </c>
      <c r="F142" s="8">
        <f>+GETPIVOTDATA(" Undergrad Contact Hour FTE - Old",'FTE Pivot for regular counts'!$A$2,"State","MD","Category2","Two-Year")</f>
        <v>0</v>
      </c>
      <c r="G142" s="32">
        <f>+GETPIVOTDATA(" Undergrad Contact Hour FTE - Old",'FTE Pivot for regular counts'!$A$2,"State","MD","Category","12","Category2","Technical")</f>
        <v>0</v>
      </c>
      <c r="H142" s="119">
        <f>+GETPIVOTDATA(" Undergrad Contact Hour FTE - Old",'FTE Pivot for regular counts'!$A$2,"State","MD","Category","13","Category2","Technical")</f>
        <v>0</v>
      </c>
      <c r="I142" s="119">
        <f>+GETPIVOTDATA(" Undergrad Contact Hour FTE - Old",'FTE Pivot for regular counts'!$A$2,"State","MD","Category2","Technical")</f>
        <v>0</v>
      </c>
      <c r="J142" s="119"/>
      <c r="K142" s="119"/>
      <c r="L142" s="119"/>
    </row>
    <row r="143" spans="1:12" ht="15" customHeight="1">
      <c r="B143" s="32">
        <f>+GETPIVOTDATA(" Undergrad Contact Hour FTE - Old",'FTE Pivot for regular counts'!$A$2,"State","AL","Category","7","Category2","Two-Year")</f>
        <v>0</v>
      </c>
      <c r="C143" s="32">
        <f>+GETPIVOTDATA(" Undergrad Contact Hour FTE - Old",'FTE Pivot for regular counts'!$A$2,"State","AL","Category","8","Category2","Two-Year")</f>
        <v>0</v>
      </c>
      <c r="D143" s="32">
        <f>+GETPIVOTDATA(" Undergrad Contact Hour FTE - Old",'FTE Pivot for regular counts'!$A$2,"State","AL","Category","9","Category2","Two-Year")</f>
        <v>0</v>
      </c>
      <c r="E143" s="32">
        <f>+GETPIVOTDATA(" Undergrad Contact Hour FTE - Old",'FTE Pivot for regular counts'!$A$2,"State","AL","Category","10","Category2","Two-Year")</f>
        <v>0</v>
      </c>
      <c r="F143" s="8">
        <f>+GETPIVOTDATA(" Undergrad Contact Hour FTE - Old",'FTE Pivot for regular counts'!$A$2,"State","AL","Category2","Two-Year")</f>
        <v>0</v>
      </c>
      <c r="G143" s="32">
        <f>+GETPIVOTDATA(" Undergrad Contact Hour FTE - Old",'FTE Pivot for regular counts'!$A$2,"State","AL","Category","12","Category2","Technical")</f>
        <v>0</v>
      </c>
      <c r="H143" s="119">
        <f>+GETPIVOTDATA(" Undergrad Contact Hour FTE - Old",'FTE Pivot for regular counts'!$A$2,"State","AL","Category","13","Category2","Technical")</f>
        <v>0</v>
      </c>
      <c r="I143" s="119">
        <f>+GETPIVOTDATA(" Undergrad Contact Hour FTE - Old",'FTE Pivot for regular counts'!$A$2,"State","AL","Category2","Technical")</f>
        <v>0</v>
      </c>
      <c r="J143" s="119"/>
      <c r="K143" s="119"/>
      <c r="L143" s="119"/>
    </row>
    <row r="144" spans="1:12" ht="15" customHeight="1">
      <c r="A144" s="1" t="s">
        <v>87</v>
      </c>
      <c r="B144" s="32">
        <f>+GETPIVOTDATA(" Undergrad Contact Hour FTE - Old",'FTE Pivot for regular counts'!$A$2,"State","MS","Category","7","Category2","Two-Year")</f>
        <v>0</v>
      </c>
      <c r="C144" s="32">
        <f>+GETPIVOTDATA(" Undergrad Contact Hour FTE - Old",'FTE Pivot for regular counts'!$A$2,"State","MS","Category","8","Category2","Two-Year")</f>
        <v>0</v>
      </c>
      <c r="D144" s="32">
        <f>+GETPIVOTDATA(" Undergrad Contact Hour FTE - Old",'FTE Pivot for regular counts'!$A$2,"State","MS","Category","9","Category2","Two-Year")</f>
        <v>0</v>
      </c>
      <c r="E144" s="32">
        <f>+GETPIVOTDATA(" Undergrad Contact Hour FTE - Old",'FTE Pivot for regular counts'!$A$2,"State","MS","Category","10","Category2","Two-Year")</f>
        <v>0</v>
      </c>
      <c r="F144" s="8">
        <f>+GETPIVOTDATA(" Undergrad Contact Hour FTE - Old",'FTE Pivot for regular counts'!$A$2,"State","MS","Category2","Two-Year")</f>
        <v>0</v>
      </c>
      <c r="G144" s="32">
        <f>+GETPIVOTDATA(" Undergrad Contact Hour FTE - Old",'FTE Pivot for regular counts'!$A$2,"State","MS","Category","12","Category2","Technical")</f>
        <v>0</v>
      </c>
      <c r="H144" s="119">
        <f>+GETPIVOTDATA(" Undergrad Contact Hour FTE - Old",'FTE Pivot for regular counts'!$A$2,"State","MS","Category","13","Category2","Technical")</f>
        <v>0</v>
      </c>
      <c r="I144" s="119">
        <f>+GETPIVOTDATA(" Undergrad Contact Hour FTE - Old",'FTE Pivot for regular counts'!$A$2,"State","MS","Category2","Technical")</f>
        <v>0</v>
      </c>
      <c r="J144" s="119"/>
      <c r="K144" s="119"/>
      <c r="L144" s="119"/>
    </row>
    <row r="145" spans="1:19" ht="15" customHeight="1">
      <c r="A145" s="1" t="s">
        <v>88</v>
      </c>
      <c r="B145" s="32">
        <f>+GETPIVOTDATA(" Undergrad Contact Hour FTE - Old",'FTE Pivot for regular counts'!$A$2,"State","NC","Category","7","Category2","Two-Year")</f>
        <v>0</v>
      </c>
      <c r="C145" s="32">
        <f>+GETPIVOTDATA(" Undergrad Contact Hour FTE - Old",'FTE Pivot for regular counts'!$A$2,"State","NC","Category","8","Category2","Two-Year")</f>
        <v>0</v>
      </c>
      <c r="D145" s="32">
        <f>+GETPIVOTDATA(" Undergrad Contact Hour FTE - Old",'FTE Pivot for regular counts'!$A$2,"State","NC","Category","9","Category2","Two-Year")</f>
        <v>0</v>
      </c>
      <c r="E145" s="32">
        <f>+GETPIVOTDATA(" Undergrad Contact Hour FTE - Old",'FTE Pivot for regular counts'!$A$2,"State","NC","Category","10","Category2","Two-Year")</f>
        <v>0</v>
      </c>
      <c r="F145" s="8">
        <f>+GETPIVOTDATA(" Undergrad Contact Hour FTE - Old",'FTE Pivot for regular counts'!$A$2,"State","NC","Category2","Two-Year")</f>
        <v>0</v>
      </c>
      <c r="G145" s="32">
        <f>+GETPIVOTDATA(" Undergrad Contact Hour FTE - Old",'FTE Pivot for regular counts'!$A$2,"State","NC","Category","12","Category2","Technical")</f>
        <v>0</v>
      </c>
      <c r="H145" s="119">
        <f>+GETPIVOTDATA(" Undergrad Contact Hour FTE - Old",'FTE Pivot for regular counts'!$A$2,"State","NC","Category","13","Category2","Technical")</f>
        <v>0</v>
      </c>
      <c r="I145" s="119">
        <f>+GETPIVOTDATA(" Undergrad Contact Hour FTE - Old",'FTE Pivot for regular counts'!$A$2,"State","NC","Category2","Technical")</f>
        <v>0</v>
      </c>
      <c r="J145" s="119"/>
      <c r="K145" s="119"/>
      <c r="L145" s="119"/>
    </row>
    <row r="146" spans="1:19" ht="15" customHeight="1">
      <c r="A146" s="1" t="s">
        <v>89</v>
      </c>
      <c r="B146" s="32">
        <f>+GETPIVOTDATA(" Undergrad Contact Hour FTE - Old",'FTE Pivot for regular counts'!$A$2,"State","OK","Category","7","Category2","Two-Year")</f>
        <v>0</v>
      </c>
      <c r="C146" s="32">
        <f>+GETPIVOTDATA(" Undergrad Contact Hour FTE - Old",'FTE Pivot for regular counts'!$A$2,"State","OK","Category","8","Category2","Two-Year")</f>
        <v>0</v>
      </c>
      <c r="D146" s="32">
        <f>+GETPIVOTDATA(" Undergrad Contact Hour FTE - Old",'FTE Pivot for regular counts'!$A$2,"State","OK","Category","9","Category2","Two-Year")</f>
        <v>0</v>
      </c>
      <c r="E146" s="32">
        <f>+GETPIVOTDATA(" Undergrad Contact Hour FTE - Old",'FTE Pivot for regular counts'!$A$2,"State","OK","Category","10","Category2","Two-Year")</f>
        <v>0</v>
      </c>
      <c r="F146" s="8">
        <f>+GETPIVOTDATA(" Undergrad Contact Hour FTE - Old",'FTE Pivot for regular counts'!$A$2,"State","OK","Category2","Two-Year")</f>
        <v>0</v>
      </c>
      <c r="G146" s="32">
        <f>+GETPIVOTDATA(" Undergrad Contact Hour FTE - Old",'FTE Pivot for regular counts'!$A$2,"State","OK","Category","12","Category2","Technical")</f>
        <v>4723.4119777777778</v>
      </c>
      <c r="H146" s="119">
        <f>+GETPIVOTDATA(" Undergrad Contact Hour FTE - Old",'FTE Pivot for regular counts'!$A$2,"State","OK","Category","13","Category2","Technical")</f>
        <v>16921.855233333339</v>
      </c>
      <c r="I146" s="119">
        <f>+GETPIVOTDATA(" Undergrad Contact Hour FTE - Old",'FTE Pivot for regular counts'!$A$2,"State","OK","Category2","Technical")</f>
        <v>21645.267211111117</v>
      </c>
      <c r="J146" s="119"/>
      <c r="K146" s="119"/>
      <c r="L146" s="119"/>
    </row>
    <row r="147" spans="1:19" ht="15" customHeight="1">
      <c r="A147" s="1" t="s">
        <v>90</v>
      </c>
      <c r="B147" s="32">
        <f>+GETPIVOTDATA(" Undergrad Contact Hour FTE - Old",'FTE Pivot for regular counts'!$A$2,"State","SC","Category","7","Category2","Two-Year")</f>
        <v>0</v>
      </c>
      <c r="C147" s="32">
        <f>+GETPIVOTDATA(" Undergrad Contact Hour FTE - Old",'FTE Pivot for regular counts'!$A$2,"State","SC","Category","8","Category2","Two-Year")</f>
        <v>0</v>
      </c>
      <c r="D147" s="32">
        <f>+GETPIVOTDATA(" Undergrad Contact Hour FTE - Old",'FTE Pivot for regular counts'!$A$2,"State","SC","Category","9","Category2","Two-Year")</f>
        <v>0</v>
      </c>
      <c r="E147" s="32">
        <f>+GETPIVOTDATA(" Undergrad Contact Hour FTE - Old",'FTE Pivot for regular counts'!$A$2,"State","SC","Category","10","Category2","Two-Year")</f>
        <v>0</v>
      </c>
      <c r="F147" s="8">
        <f>+GETPIVOTDATA(" Undergrad Contact Hour FTE - Old",'FTE Pivot for regular counts'!$A$2,"State","SC","Category2","Two-Year")</f>
        <v>0</v>
      </c>
      <c r="G147" s="32">
        <f>+GETPIVOTDATA(" Undergrad Contact Hour FTE - Old",'FTE Pivot for regular counts'!$A$2,"State","SC","Category","12","Category2","Technical")</f>
        <v>0</v>
      </c>
      <c r="H147" s="119">
        <f>+GETPIVOTDATA(" Undergrad Contact Hour FTE - Old",'FTE Pivot for regular counts'!$A$2,"State","SC","Category","13","Category2","Technical")</f>
        <v>0</v>
      </c>
      <c r="I147" s="119">
        <f>+GETPIVOTDATA(" Undergrad Contact Hour FTE - Old",'FTE Pivot for regular counts'!$A$2,"State","SC","Category2","Technical")</f>
        <v>0</v>
      </c>
      <c r="J147" s="119"/>
      <c r="K147" s="119"/>
      <c r="L147" s="119"/>
    </row>
    <row r="148" spans="1:19" ht="15" customHeight="1">
      <c r="B148" s="32">
        <f>+GETPIVOTDATA(" Undergrad Contact Hour FTE - Old",'FTE Pivot for regular counts'!$A$2,"State","AL","Category","7","Category2","Two-Year")</f>
        <v>0</v>
      </c>
      <c r="C148" s="32">
        <f>+GETPIVOTDATA(" Undergrad Contact Hour FTE - Old",'FTE Pivot for regular counts'!$A$2,"State","AL","Category","8","Category2","Two-Year")</f>
        <v>0</v>
      </c>
      <c r="D148" s="32">
        <f>+GETPIVOTDATA(" Undergrad Contact Hour FTE - Old",'FTE Pivot for regular counts'!$A$2,"State","AL","Category","9","Category2","Two-Year")</f>
        <v>0</v>
      </c>
      <c r="E148" s="32">
        <f>+GETPIVOTDATA(" Undergrad Contact Hour FTE - Old",'FTE Pivot for regular counts'!$A$2,"State","AL","Category","10","Category2","Two-Year")</f>
        <v>0</v>
      </c>
      <c r="F148" s="8">
        <f>+GETPIVOTDATA(" Undergrad Contact Hour FTE - Old",'FTE Pivot for regular counts'!$A$2,"State","AL","Category2","Two-Year")</f>
        <v>0</v>
      </c>
      <c r="G148" s="32">
        <f>+GETPIVOTDATA(" Undergrad Contact Hour FTE - Old",'FTE Pivot for regular counts'!$A$2,"State","AL","Category","12","Category2","Technical")</f>
        <v>0</v>
      </c>
      <c r="H148" s="119">
        <f>+GETPIVOTDATA(" Undergrad Contact Hour FTE - Old",'FTE Pivot for regular counts'!$A$2,"State","AL","Category","13","Category2","Technical")</f>
        <v>0</v>
      </c>
      <c r="I148" s="119">
        <f>+GETPIVOTDATA(" Undergrad Contact Hour FTE - Old",'FTE Pivot for regular counts'!$A$2,"State","AL","Category2","Technical")</f>
        <v>0</v>
      </c>
      <c r="J148" s="119"/>
      <c r="K148" s="119"/>
      <c r="L148" s="119"/>
    </row>
    <row r="149" spans="1:19" ht="15" customHeight="1">
      <c r="A149" s="1" t="s">
        <v>91</v>
      </c>
      <c r="B149" s="32">
        <f>+GETPIVOTDATA(" Undergrad Contact Hour FTE - Old",'FTE Pivot for regular counts'!$A$2,"State","TN","Category","7","Category2","Two-Year")</f>
        <v>0</v>
      </c>
      <c r="C149" s="32">
        <f>+GETPIVOTDATA(" Undergrad Contact Hour FTE - Old",'FTE Pivot for regular counts'!$A$2,"State","TN","Category","8","Category2","Two-Year")</f>
        <v>0</v>
      </c>
      <c r="D149" s="32">
        <f>+GETPIVOTDATA(" Undergrad Contact Hour FTE - Old",'FTE Pivot for regular counts'!$A$2,"State","TN","Category","9","Category2","Two-Year")</f>
        <v>0</v>
      </c>
      <c r="E149" s="32">
        <f>+GETPIVOTDATA(" Undergrad Contact Hour FTE - Old",'FTE Pivot for regular counts'!$A$2,"State","TN","Category","10","Category2","Two-Year")</f>
        <v>0</v>
      </c>
      <c r="F149" s="8">
        <f>+GETPIVOTDATA(" Undergrad Contact Hour FTE - Old",'FTE Pivot for regular counts'!$A$2,"State","TN","Category2","Two-Year")</f>
        <v>0</v>
      </c>
      <c r="G149" s="32">
        <f>+GETPIVOTDATA(" Undergrad Contact Hour FTE - Old",'FTE Pivot for regular counts'!$A$2,"State","TN","Category","12","Category2","Technical")</f>
        <v>0</v>
      </c>
      <c r="H149" s="119">
        <f>+GETPIVOTDATA(" Undergrad Contact Hour FTE - Old",'FTE Pivot for regular counts'!$A$2,"State","TN","Category","13","Category2","Technical")</f>
        <v>13277.441111111108</v>
      </c>
      <c r="I149" s="119">
        <f>+GETPIVOTDATA(" Undergrad Contact Hour FTE - Old",'FTE Pivot for regular counts'!$A$2,"State","TN","Category2","Technical")</f>
        <v>13277.441111111108</v>
      </c>
      <c r="J149" s="119"/>
      <c r="K149" s="119"/>
      <c r="L149" s="119"/>
    </row>
    <row r="150" spans="1:19" ht="15" customHeight="1">
      <c r="A150" s="1" t="s">
        <v>92</v>
      </c>
      <c r="B150" s="32">
        <f>+GETPIVOTDATA(" Undergrad Contact Hour FTE - Old",'FTE Pivot for regular counts'!$A$2,"State","TX","Category","7","Category2","Two-Year")</f>
        <v>544.48222222222216</v>
      </c>
      <c r="C150" s="32">
        <f>+GETPIVOTDATA(" Undergrad Contact Hour FTE - Old",'FTE Pivot for regular counts'!$A$2,"State","TX","Category","8","Category2","Two-Year")</f>
        <v>15006.622222222222</v>
      </c>
      <c r="D150" s="32">
        <f>+GETPIVOTDATA(" Undergrad Contact Hour FTE - Old",'FTE Pivot for regular counts'!$A$2,"State","TX","Category","9","Category2","Two-Year")</f>
        <v>5181.8466666666664</v>
      </c>
      <c r="E150" s="32">
        <f>+GETPIVOTDATA(" Undergrad Contact Hour FTE - Old",'FTE Pivot for regular counts'!$A$2,"State","TX","Category","10","Category2","Two-Year")</f>
        <v>904.23222222222216</v>
      </c>
      <c r="F150" s="8">
        <f>+GETPIVOTDATA(" Undergrad Contact Hour FTE - Old",'FTE Pivot for regular counts'!$A$2,"State","TX","Category2","Two-Year")</f>
        <v>21637.183333333334</v>
      </c>
      <c r="G150" s="32">
        <f>+GETPIVOTDATA(" Undergrad Contact Hour FTE - Old",'FTE Pivot for regular counts'!$A$2,"State","TX","Category","12","Category2","Technical")</f>
        <v>0</v>
      </c>
      <c r="H150" s="119">
        <f>+GETPIVOTDATA(" Undergrad Contact Hour FTE - Old",'FTE Pivot for regular counts'!$A$2,"State","TX","Category","13","Category2","Technical")</f>
        <v>0</v>
      </c>
      <c r="I150" s="119">
        <f>+GETPIVOTDATA(" Undergrad Contact Hour FTE - Old",'FTE Pivot for regular counts'!$A$2,"State","TX","Category2","Technical")</f>
        <v>0</v>
      </c>
      <c r="J150" s="119"/>
      <c r="K150" s="119"/>
      <c r="L150" s="119"/>
    </row>
    <row r="151" spans="1:19" ht="15" customHeight="1">
      <c r="A151" s="1" t="s">
        <v>93</v>
      </c>
      <c r="B151" s="32">
        <f>+GETPIVOTDATA(" Undergrad Contact Hour FTE - Old",'FTE Pivot for regular counts'!$A$2,"State","VA","Category","7","Category2","Two-Year")</f>
        <v>0</v>
      </c>
      <c r="C151" s="32">
        <f>+GETPIVOTDATA(" Undergrad Contact Hour FTE - Old",'FTE Pivot for regular counts'!$A$2,"State","VA","Category","8","Category2","Two-Year")</f>
        <v>0</v>
      </c>
      <c r="D151" s="32">
        <f>+GETPIVOTDATA(" Undergrad Contact Hour FTE - Old",'FTE Pivot for regular counts'!$A$2,"State","VA","Category","9","Category2","Two-Year")</f>
        <v>0</v>
      </c>
      <c r="E151" s="32">
        <f>+GETPIVOTDATA(" Undergrad Contact Hour FTE - Old",'FTE Pivot for regular counts'!$A$2,"State","VA","Category","10","Category2","Two-Year")</f>
        <v>0</v>
      </c>
      <c r="F151" s="8">
        <f>+GETPIVOTDATA(" Undergrad Contact Hour FTE - Old",'FTE Pivot for regular counts'!$A$2,"State","VA","Category2","Two-Year")</f>
        <v>0</v>
      </c>
      <c r="G151" s="32">
        <f>+GETPIVOTDATA(" Undergrad Contact Hour FTE - Old",'FTE Pivot for regular counts'!$A$2,"State","VA","Category","12","Category2","Technical")</f>
        <v>0</v>
      </c>
      <c r="H151" s="119">
        <f>+GETPIVOTDATA(" Undergrad Contact Hour FTE - Old",'FTE Pivot for regular counts'!$A$2,"State","VA","Category","13","Category2","Technical")</f>
        <v>0</v>
      </c>
      <c r="I151" s="119">
        <f>+GETPIVOTDATA(" Undergrad Contact Hour FTE - Old",'FTE Pivot for regular counts'!$A$2,"State","VA","Category2","Technical")</f>
        <v>0</v>
      </c>
      <c r="J151" s="119"/>
      <c r="K151" s="119"/>
      <c r="L151" s="119"/>
    </row>
    <row r="152" spans="1:19" ht="15" customHeight="1">
      <c r="A152" s="3" t="s">
        <v>94</v>
      </c>
      <c r="B152" s="9">
        <f>+GETPIVOTDATA(" Undergrad Contact Hour FTE - Old",'FTE Pivot for regular counts'!$A$2,"State","WV","Category","7","Category2","Two-Year")</f>
        <v>0</v>
      </c>
      <c r="C152" s="9">
        <f>+GETPIVOTDATA(" Undergrad Contact Hour FTE - Old",'FTE Pivot for regular counts'!$A$2,"State","WV","Category","8","Category2","Two-Year")</f>
        <v>0</v>
      </c>
      <c r="D152" s="9">
        <f>+GETPIVOTDATA(" Undergrad Contact Hour FTE - Old",'FTE Pivot for regular counts'!$A$2,"State","WV","Category","9","Category2","Two-Year")</f>
        <v>0</v>
      </c>
      <c r="E152" s="9">
        <f>+GETPIVOTDATA(" Undergrad Contact Hour FTE - Old",'FTE Pivot for regular counts'!$A$2,"State","WV","Category","10","Category2","Two-Year")</f>
        <v>0</v>
      </c>
      <c r="F152" s="10">
        <f>+GETPIVOTDATA(" Undergrad Contact Hour FTE - Old",'FTE Pivot for regular counts'!$A$2,"State","WV","Category2","Two-Year")</f>
        <v>0</v>
      </c>
      <c r="G152" s="9">
        <f>+GETPIVOTDATA(" Undergrad Contact Hour FTE - Old",'FTE Pivot for regular counts'!$A$2,"State","WV","Category","12","Category2","Technical")</f>
        <v>0</v>
      </c>
      <c r="H152" s="120">
        <f>+GETPIVOTDATA(" Undergrad Contact Hour FTE - Old",'FTE Pivot for regular counts'!$A$2,"State","WV","Category","13","Category2","Technical")</f>
        <v>0</v>
      </c>
      <c r="I152" s="120">
        <f>+GETPIVOTDATA(" Undergrad Contact Hour FTE - Old",'FTE Pivot for regular counts'!$A$2,"State","WV","Category2","Technical")</f>
        <v>0</v>
      </c>
      <c r="J152" s="119"/>
      <c r="K152" s="119"/>
      <c r="L152" s="119"/>
    </row>
    <row r="153" spans="1:19" s="25" customFormat="1" ht="9.9499999999999993" customHeight="1">
      <c r="A153" s="76"/>
      <c r="B153" s="16"/>
      <c r="C153" s="16"/>
      <c r="D153" s="16"/>
      <c r="E153" s="16"/>
      <c r="F153" s="16"/>
      <c r="G153" s="16"/>
      <c r="H153" s="109"/>
      <c r="I153" s="16"/>
      <c r="J153" s="103"/>
      <c r="K153" s="103"/>
      <c r="L153" s="103"/>
    </row>
    <row r="154" spans="1:19" ht="34.5" customHeight="1">
      <c r="A154" s="814" t="s">
        <v>1004</v>
      </c>
      <c r="B154" s="822"/>
      <c r="C154" s="822"/>
      <c r="D154" s="822"/>
      <c r="E154" s="822"/>
      <c r="F154" s="822"/>
      <c r="G154" s="822"/>
      <c r="H154" s="822"/>
      <c r="I154" s="822"/>
      <c r="J154" s="822"/>
      <c r="K154" s="270"/>
      <c r="L154" s="270"/>
      <c r="M154" s="1"/>
    </row>
    <row r="155" spans="1:19">
      <c r="J155" s="169" t="s">
        <v>1018</v>
      </c>
      <c r="K155" s="169"/>
      <c r="L155" s="169"/>
      <c r="M155" s="1"/>
    </row>
    <row r="156" spans="1:19" s="4" customFormat="1" ht="18">
      <c r="A156" s="115" t="s">
        <v>227</v>
      </c>
      <c r="B156" s="115"/>
      <c r="C156" s="115"/>
      <c r="D156" s="115"/>
      <c r="E156" s="115"/>
      <c r="F156" s="115"/>
      <c r="G156" s="115"/>
      <c r="H156" s="115"/>
      <c r="I156" s="115"/>
      <c r="J156" s="115"/>
      <c r="K156" s="115"/>
      <c r="L156" s="177"/>
      <c r="P156" s="1"/>
      <c r="Q156" s="1"/>
      <c r="R156" s="1"/>
      <c r="S156" s="1"/>
    </row>
    <row r="157" spans="1:19" ht="12" customHeight="1">
      <c r="A157" s="21"/>
      <c r="B157" s="21"/>
      <c r="C157" s="21"/>
      <c r="D157" s="21"/>
      <c r="E157" s="21"/>
      <c r="F157" s="21"/>
      <c r="G157" s="21"/>
      <c r="H157" s="105"/>
      <c r="I157" s="21"/>
      <c r="J157" s="105"/>
      <c r="K157" s="105"/>
      <c r="L157" s="105"/>
      <c r="M157" s="1"/>
    </row>
    <row r="158" spans="1:19" ht="15.75">
      <c r="A158" s="43" t="s">
        <v>47</v>
      </c>
      <c r="B158" s="43"/>
      <c r="C158" s="43"/>
      <c r="D158" s="43"/>
      <c r="E158" s="43"/>
      <c r="F158" s="43"/>
      <c r="G158" s="43"/>
      <c r="H158" s="43"/>
      <c r="I158" s="43"/>
      <c r="J158" s="43"/>
      <c r="K158" s="43"/>
      <c r="L158" s="272"/>
      <c r="M158" s="1"/>
    </row>
    <row r="159" spans="1:19" ht="15.75">
      <c r="A159" s="43" t="s">
        <v>1008</v>
      </c>
      <c r="B159" s="43"/>
      <c r="C159" s="43"/>
      <c r="D159" s="43"/>
      <c r="E159" s="43"/>
      <c r="F159" s="43"/>
      <c r="G159" s="43"/>
      <c r="H159" s="43"/>
      <c r="I159" s="43"/>
      <c r="J159" s="43"/>
      <c r="K159" s="43"/>
      <c r="L159" s="272"/>
      <c r="M159" s="199"/>
    </row>
    <row r="160" spans="1:19">
      <c r="B160" s="2"/>
      <c r="C160" s="2"/>
      <c r="D160" s="2"/>
      <c r="E160" s="171"/>
      <c r="F160" s="2"/>
      <c r="G160" s="171"/>
      <c r="H160" s="202"/>
      <c r="I160" s="171"/>
      <c r="J160" s="202"/>
      <c r="K160" s="202"/>
      <c r="L160" s="191"/>
      <c r="M160" s="191"/>
      <c r="N160" s="25"/>
      <c r="O160" s="25"/>
    </row>
    <row r="161" spans="1:19" ht="15" customHeight="1">
      <c r="A161" s="45"/>
      <c r="B161" s="231" t="s">
        <v>156</v>
      </c>
      <c r="C161" s="65"/>
      <c r="D161" s="172">
        <v>1</v>
      </c>
      <c r="F161" s="206">
        <v>2</v>
      </c>
      <c r="H161" s="206">
        <v>3</v>
      </c>
      <c r="J161" s="206" t="s">
        <v>41</v>
      </c>
      <c r="K161" s="204"/>
      <c r="L161" s="73"/>
      <c r="N161" s="25"/>
      <c r="O161" s="25"/>
    </row>
    <row r="162" spans="1:19" ht="75.75" customHeight="1">
      <c r="A162" s="203"/>
      <c r="B162" s="204" t="s">
        <v>160</v>
      </c>
      <c r="C162" s="166" t="s">
        <v>24</v>
      </c>
      <c r="D162" s="205" t="s">
        <v>160</v>
      </c>
      <c r="E162" s="166" t="s">
        <v>24</v>
      </c>
      <c r="F162" s="205" t="s">
        <v>160</v>
      </c>
      <c r="G162" s="166" t="s">
        <v>24</v>
      </c>
      <c r="H162" s="205" t="s">
        <v>160</v>
      </c>
      <c r="I162" s="166" t="s">
        <v>24</v>
      </c>
      <c r="J162" s="205" t="s">
        <v>160</v>
      </c>
      <c r="K162" s="166" t="s">
        <v>24</v>
      </c>
    </row>
    <row r="163" spans="1:19">
      <c r="A163" s="1" t="s">
        <v>79</v>
      </c>
      <c r="B163" s="7">
        <f>+'OLD Tables'!B101+'OLD Tables'!B132</f>
        <v>213946.88222222222</v>
      </c>
      <c r="D163" s="173">
        <f>+'OLD Tables'!C101+'OLD Tables'!C132</f>
        <v>1055940.8188888892</v>
      </c>
      <c r="F163" s="173">
        <f>+'OLD Tables'!D101+'OLD Tables'!D132</f>
        <v>469481.4966666667</v>
      </c>
      <c r="H163" s="175">
        <f>+'OLD Tables'!E101+'OLD Tables'!E132</f>
        <v>147992.47611111111</v>
      </c>
      <c r="J163" s="173">
        <f>+'OLD Tables'!F101+'OLD Tables'!F132</f>
        <v>1887361.6738888889</v>
      </c>
      <c r="K163" s="1"/>
      <c r="L163" s="4" t="s">
        <v>39</v>
      </c>
      <c r="P163" s="75"/>
      <c r="Q163" s="75"/>
      <c r="R163" s="75"/>
      <c r="S163" s="75"/>
    </row>
    <row r="164" spans="1:19" s="75" customFormat="1" ht="10.5" customHeight="1">
      <c r="A164" s="265"/>
      <c r="B164" s="266"/>
      <c r="C164" s="261" t="s">
        <v>237</v>
      </c>
      <c r="D164" s="262" t="s">
        <v>39</v>
      </c>
      <c r="E164" s="261" t="s">
        <v>238</v>
      </c>
      <c r="F164" s="262" t="s">
        <v>39</v>
      </c>
      <c r="G164" s="263" t="s">
        <v>239</v>
      </c>
      <c r="H164" s="264" t="s">
        <v>39</v>
      </c>
      <c r="I164" s="263" t="s">
        <v>240</v>
      </c>
      <c r="J164" s="264" t="s">
        <v>39</v>
      </c>
      <c r="K164" s="261" t="s">
        <v>241</v>
      </c>
      <c r="L164" s="75" t="s">
        <v>39</v>
      </c>
      <c r="P164" s="1"/>
      <c r="Q164" s="1"/>
      <c r="R164" s="1"/>
      <c r="S164" s="1"/>
    </row>
    <row r="165" spans="1:19" ht="15" customHeight="1">
      <c r="A165" s="1" t="s">
        <v>80</v>
      </c>
      <c r="B165" s="7">
        <f>+'OLD Tables'!B103+'OLD Tables'!B134</f>
        <v>0</v>
      </c>
      <c r="C165" s="96">
        <f>+GETPIVOTDATA("Sum of Old-HS % of Total",'Pivot-HS Student % of Undergrad'!$A$3,"State","AL","Category",7,"Category2","Two-Year")</f>
        <v>0</v>
      </c>
      <c r="D165" s="173">
        <f>+'OLD Tables'!C103+'OLD Tables'!C134</f>
        <v>27220.566666666669</v>
      </c>
      <c r="E165" s="96">
        <f>+GETPIVOTDATA("Sum of Old-HS % of Total",'Pivot-HS Student % of Undergrad'!$A$3,"State","AL","Category",8,"Category2","Two-Year")</f>
        <v>2.6723666051527217E-2</v>
      </c>
      <c r="F165" s="173">
        <f>+'OLD Tables'!D103+'OLD Tables'!D134</f>
        <v>40140.033333333333</v>
      </c>
      <c r="G165" s="96">
        <f>+GETPIVOTDATA("Sum of Old-HS % of Total",'Pivot-HS Student % of Undergrad'!$A$3,"State","AL","Category",9,"Category2","Two-Year")</f>
        <v>1.9153779144843758E-2</v>
      </c>
      <c r="H165" s="173">
        <f>+'OLD Tables'!E103+'OLD Tables'!E134</f>
        <v>9758.6666666666661</v>
      </c>
      <c r="I165" s="96">
        <f>+GETPIVOTDATA("Sum of Old-HS % of Total",'Pivot-HS Student % of Undergrad'!$A$3,"State","AL","Category",10,"Category2","Two-Year")</f>
        <v>2.8658286651181857E-2</v>
      </c>
      <c r="J165" s="173">
        <f>+'OLD Tables'!F103+'OLD Tables'!F134</f>
        <v>77119.266666666677</v>
      </c>
      <c r="K165" s="96">
        <f>+GETPIVOTDATA("Sum of Old-HS % of Total",'Pivot-HS Student % of Undergrad'!$A$3,"State","AL","Category2","Group2")</f>
        <v>2.3028400166322467E-2</v>
      </c>
    </row>
    <row r="166" spans="1:19" ht="15" customHeight="1">
      <c r="A166" s="1" t="s">
        <v>81</v>
      </c>
      <c r="B166" s="32">
        <f>+'OLD Tables'!B104+'OLD Tables'!B135</f>
        <v>0</v>
      </c>
      <c r="C166" s="96">
        <f>+GETPIVOTDATA("Sum of Old-HS % of Total",'Pivot-HS Student % of Undergrad'!$A$3,"State","AR","Category",7,"Category2","Two-Year")</f>
        <v>0</v>
      </c>
      <c r="D166" s="173">
        <f>+'OLD Tables'!C104+'OLD Tables'!C135</f>
        <v>13906.1</v>
      </c>
      <c r="E166" s="96">
        <f>+GETPIVOTDATA("Sum of Old-HS % of Total",'Pivot-HS Student % of Undergrad'!$A$3,"State","AR","Category",8,"Category2","Two-Year")</f>
        <v>2.2268404992533252E-2</v>
      </c>
      <c r="F166" s="173">
        <f>+'OLD Tables'!D104+'OLD Tables'!D135</f>
        <v>6435.2</v>
      </c>
      <c r="G166" s="96">
        <f>+GETPIVOTDATA("Sum of Old-HS % of Total",'Pivot-HS Student % of Undergrad'!$A$3,"State","AR","Category",9,"Category2","Two-Year")</f>
        <v>5.3834120669650258E-2</v>
      </c>
      <c r="H166" s="173">
        <f>+'OLD Tables'!E104+'OLD Tables'!E135</f>
        <v>24747.599999999999</v>
      </c>
      <c r="I166" s="96">
        <f>+GETPIVOTDATA("Sum of Old-HS % of Total",'Pivot-HS Student % of Undergrad'!$A$3,"State","AR","Category",10,"Category2","Two-Year")</f>
        <v>6.5567300802232678E-2</v>
      </c>
      <c r="J166" s="173">
        <f>+'OLD Tables'!F104+'OLD Tables'!F135</f>
        <v>45088.899999999994</v>
      </c>
      <c r="K166" s="96">
        <f>+GETPIVOTDATA("Sum of Old-HS % of Total",'Pivot-HS Student % of Undergrad'!$A$3,"State","AR","Category2","Group2")</f>
        <v>5.0538676555279313E-2</v>
      </c>
    </row>
    <row r="167" spans="1:19" ht="15" customHeight="1">
      <c r="A167" s="1" t="s">
        <v>118</v>
      </c>
      <c r="B167" s="32">
        <f>+'OLD Tables'!B105+'OLD Tables'!B136</f>
        <v>0</v>
      </c>
      <c r="C167" s="96">
        <f>+GETPIVOTDATA("Sum of Old-HS % of Total",'Pivot-HS Student % of Undergrad'!$A$3,"State","DE","Category",7,"Category2","Two-Year")</f>
        <v>0</v>
      </c>
      <c r="D167" s="173">
        <f>+'OLD Tables'!C105+'OLD Tables'!C136</f>
        <v>5423</v>
      </c>
      <c r="E167" s="96">
        <f>+GETPIVOTDATA("Sum of Old-HS % of Total",'Pivot-HS Student % of Undergrad'!$A$3,"State","DE","Category",8,"Category2","Two-Year")</f>
        <v>3.3622226319995081E-3</v>
      </c>
      <c r="F167" s="173">
        <f>+'OLD Tables'!D105+'OLD Tables'!D136</f>
        <v>6026.9666666666672</v>
      </c>
      <c r="G167" s="96">
        <f>+GETPIVOTDATA("Sum of Old-HS % of Total",'Pivot-HS Student % of Undergrad'!$A$3,"State","DE","Category",9,"Category2","Two-Year")</f>
        <v>2.5828360313922428E-3</v>
      </c>
      <c r="H167" s="173">
        <f>+'OLD Tables'!E105+'OLD Tables'!E136</f>
        <v>0</v>
      </c>
      <c r="I167" s="96">
        <f>+GETPIVOTDATA("Sum of Old-HS % of Total",'Pivot-HS Student % of Undergrad'!$A$3,"State","DE","Category",10,"Category2","Two-Year")</f>
        <v>0</v>
      </c>
      <c r="J167" s="173">
        <f>+'OLD Tables'!F105+'OLD Tables'!F136</f>
        <v>11449.966666666667</v>
      </c>
      <c r="K167" s="96">
        <f>+GETPIVOTDATA("Sum of Old-HS % of Total",'Pivot-HS Student % of Undergrad'!$A$3,"State","DE","Category2","Group2")</f>
        <v>2.9519736593119632E-3</v>
      </c>
    </row>
    <row r="168" spans="1:19" ht="15" customHeight="1">
      <c r="A168" s="1" t="s">
        <v>82</v>
      </c>
      <c r="B168" s="32">
        <f>+'OLD Tables'!B106+'OLD Tables'!B137</f>
        <v>159192.63333333333</v>
      </c>
      <c r="C168" s="96">
        <f>+GETPIVOTDATA("Sum of Old-HS % of Total",'Pivot-HS Student % of Undergrad'!$A$3,"State","FL","Category",7,"Category2","Two-Year")</f>
        <v>1.3005829902774758E-2</v>
      </c>
      <c r="D168" s="173">
        <f>+'OLD Tables'!C106+'OLD Tables'!C137</f>
        <v>196039.79333333333</v>
      </c>
      <c r="E168" s="96">
        <f>+GETPIVOTDATA("Sum of Old-HS % of Total",'Pivot-HS Student % of Undergrad'!$A$3,"State","FL","Category",8,"Category2","Two-Year")</f>
        <v>2.3536723128421682E-2</v>
      </c>
      <c r="F168" s="173">
        <f>+'OLD Tables'!D106+'OLD Tables'!D137</f>
        <v>18608.036666666667</v>
      </c>
      <c r="G168" s="96">
        <f>+GETPIVOTDATA("Sum of Old-HS % of Total",'Pivot-HS Student % of Undergrad'!$A$3,"State","FL","Category",9,"Category2","Two-Year")</f>
        <v>5.8005013948815971E-2</v>
      </c>
      <c r="H168" s="173">
        <f>+'OLD Tables'!E106+'OLD Tables'!E137</f>
        <v>2030.4288888888887</v>
      </c>
      <c r="I168" s="96">
        <f>+GETPIVOTDATA("Sum of Old-HS % of Total",'Pivot-HS Student % of Undergrad'!$A$3,"State","FL","Category",10,"Category2","Two-Year")</f>
        <v>2.8034644595068478E-2</v>
      </c>
      <c r="J168" s="173">
        <f>+'OLD Tables'!F106+'OLD Tables'!F137</f>
        <v>375870.89222222223</v>
      </c>
      <c r="K168" s="96">
        <f>+GETPIVOTDATA("Sum of Old-HS % of Total",'Pivot-HS Student % of Undergrad'!$A$3,"State","FL","Category2","Group2")</f>
        <v>2.0305551356788184E-2</v>
      </c>
    </row>
    <row r="169" spans="1:19" ht="15" customHeight="1">
      <c r="B169" s="32"/>
      <c r="C169" s="96"/>
      <c r="D169" s="173"/>
      <c r="E169" s="96"/>
      <c r="F169" s="173"/>
      <c r="G169" s="96"/>
      <c r="H169" s="173"/>
      <c r="I169" s="96"/>
      <c r="J169" s="173"/>
      <c r="K169" s="96"/>
    </row>
    <row r="170" spans="1:19" ht="15" customHeight="1">
      <c r="A170" s="1" t="s">
        <v>83</v>
      </c>
      <c r="B170" s="32">
        <f>+'OLD Tables'!B108+'OLD Tables'!B139</f>
        <v>15733.666666666668</v>
      </c>
      <c r="C170" s="96">
        <f>+GETPIVOTDATA("Sum of Old-HS % of Total",'Pivot-HS Student % of Undergrad'!$A$3,"State","GA","Category",7,"Category2","Two-Year")</f>
        <v>7.114256053897163E-3</v>
      </c>
      <c r="D170" s="173">
        <f>+'OLD Tables'!C108+'OLD Tables'!C139</f>
        <v>19360.133333333335</v>
      </c>
      <c r="E170" s="96">
        <f>+GETPIVOTDATA("Sum of Old-HS % of Total",'Pivot-HS Student % of Undergrad'!$A$3,"State","GA","Category",8,"Category2","Two-Year")</f>
        <v>1.5719588708066747E-2</v>
      </c>
      <c r="F170" s="173">
        <f>+'OLD Tables'!D108+'OLD Tables'!D139</f>
        <v>25993.766666666666</v>
      </c>
      <c r="G170" s="96">
        <f>+GETPIVOTDATA("Sum of Old-HS % of Total",'Pivot-HS Student % of Undergrad'!$A$3,"State","GA","Category",9,"Category2","Two-Year")</f>
        <v>1.072308361107086E-2</v>
      </c>
      <c r="H170" s="173">
        <f>+'OLD Tables'!E108+'OLD Tables'!E139</f>
        <v>2799.1</v>
      </c>
      <c r="I170" s="96">
        <f>+GETPIVOTDATA("Sum of Old-HS % of Total",'Pivot-HS Student % of Undergrad'!$A$3,"State","GA","Category",10,"Category2","Two-Year")</f>
        <v>1.660057399402189E-2</v>
      </c>
      <c r="J170" s="173">
        <f>+'OLD Tables'!F108+'OLD Tables'!F139</f>
        <v>63886.666666666664</v>
      </c>
      <c r="K170" s="96">
        <f>+GETPIVOTDATA("Sum of Old-HS % of Total",'Pivot-HS Student % of Undergrad'!$A$3,"State","GA","Category2","Group2")</f>
        <v>1.1605968903266201E-2</v>
      </c>
    </row>
    <row r="171" spans="1:19" ht="15" customHeight="1">
      <c r="A171" s="1" t="s">
        <v>84</v>
      </c>
      <c r="B171" s="32">
        <f>+'OLD Tables'!B109+'OLD Tables'!B140</f>
        <v>0</v>
      </c>
      <c r="C171" s="96">
        <f>+GETPIVOTDATA("Sum of Old-HS % of Total",'Pivot-HS Student % of Undergrad'!$A$3,"State","KY","Category",7,"Category2","Two-Year")</f>
        <v>0</v>
      </c>
      <c r="D171" s="173">
        <f>+'OLD Tables'!C109+'OLD Tables'!C140</f>
        <v>18440.776666666665</v>
      </c>
      <c r="E171" s="96">
        <f>+GETPIVOTDATA("Sum of Old-HS % of Total",'Pivot-HS Student % of Undergrad'!$A$3,"State","KY","Category",8,"Category2","Two-Year")</f>
        <v>3.2659506568143461E-2</v>
      </c>
      <c r="F171" s="173">
        <f>+'OLD Tables'!D109+'OLD Tables'!D140</f>
        <v>33774.286666666667</v>
      </c>
      <c r="G171" s="96">
        <f>+GETPIVOTDATA("Sum of Old-HS % of Total",'Pivot-HS Student % of Undergrad'!$A$3,"State","KY","Category",9,"Category2","Two-Year")</f>
        <v>6.7880042075401353E-2</v>
      </c>
      <c r="H171" s="173">
        <f>+'OLD Tables'!E109+'OLD Tables'!E140</f>
        <v>3829.0666666666666</v>
      </c>
      <c r="I171" s="96">
        <f>+GETPIVOTDATA("Sum of Old-HS % of Total",'Pivot-HS Student % of Undergrad'!$A$3,"State","KY","Category",10,"Category2","Two-Year")</f>
        <v>5.0038303503029458E-2</v>
      </c>
      <c r="J171" s="173">
        <f>+'OLD Tables'!F109+'OLD Tables'!F140</f>
        <v>56044.13</v>
      </c>
      <c r="K171" s="96">
        <f>+GETPIVOTDATA("Sum of Old-HS % of Total",'Pivot-HS Student % of Undergrad'!$A$3,"State","KY","Category2","Group2")</f>
        <v>5.5072077426604124E-2</v>
      </c>
    </row>
    <row r="172" spans="1:19" ht="15" customHeight="1">
      <c r="A172" s="1" t="s">
        <v>85</v>
      </c>
      <c r="B172" s="32">
        <f>+'OLD Tables'!B110+'OLD Tables'!B141</f>
        <v>0</v>
      </c>
      <c r="C172" s="96">
        <f>+GETPIVOTDATA("Sum of Old-HS % of Total",'Pivot-HS Student % of Undergrad'!$A$3,"State","LA","Category",7,"Category2","Two-Year")</f>
        <v>0</v>
      </c>
      <c r="D172" s="173">
        <f>+'OLD Tables'!C110+'OLD Tables'!C141</f>
        <v>19117.400000000001</v>
      </c>
      <c r="E172" s="96">
        <f>+GETPIVOTDATA("Sum of Old-HS % of Total",'Pivot-HS Student % of Undergrad'!$A$3,"State","LA","Category",8,"Category2","Two-Year")</f>
        <v>5.8062288804963018E-3</v>
      </c>
      <c r="F172" s="173">
        <f>+'OLD Tables'!D110+'OLD Tables'!D141</f>
        <v>9538.5333333333328</v>
      </c>
      <c r="G172" s="96">
        <f>+GETPIVOTDATA("Sum of Old-HS % of Total",'Pivot-HS Student % of Undergrad'!$A$3,"State","LA","Category",9,"Category2","Two-Year")</f>
        <v>4.8697214106990593E-2</v>
      </c>
      <c r="H172" s="173">
        <f>+'OLD Tables'!E110+'OLD Tables'!E141</f>
        <v>7670.0666666666675</v>
      </c>
      <c r="I172" s="96">
        <f>+GETPIVOTDATA("Sum of Old-HS % of Total",'Pivot-HS Student % of Undergrad'!$A$3,"State","LA","Category",10,"Category2","Two-Year")</f>
        <v>5.9504046031759829E-2</v>
      </c>
      <c r="J172" s="173">
        <f>+'OLD Tables'!F110+'OLD Tables'!F141</f>
        <v>36326</v>
      </c>
      <c r="K172" s="96">
        <f>+GETPIVOTDATA("Sum of Old-HS % of Total",'Pivot-HS Student % of Undergrad'!$A$3,"State","LA","Category2","Group2")</f>
        <v>2.8406650883664591E-2</v>
      </c>
    </row>
    <row r="173" spans="1:19" ht="15" customHeight="1">
      <c r="A173" s="1" t="s">
        <v>86</v>
      </c>
      <c r="B173" s="32">
        <f>+'OLD Tables'!B111+'OLD Tables'!B142</f>
        <v>0</v>
      </c>
      <c r="C173" s="96">
        <f>+GETPIVOTDATA("Sum of Old-HS % of Total",'Pivot-HS Student % of Undergrad'!$A$3,"State","MD","Category",7,"Category2","Two-Year")</f>
        <v>0</v>
      </c>
      <c r="D173" s="173">
        <f>+'OLD Tables'!C111+'OLD Tables'!C142</f>
        <v>69967.32666666666</v>
      </c>
      <c r="E173" s="96">
        <f>+GETPIVOTDATA("Sum of Old-HS % of Total",'Pivot-HS Student % of Undergrad'!$A$3,"State","MD","Category",8,"Category2","Two-Year")</f>
        <v>0</v>
      </c>
      <c r="F173" s="173">
        <f>+'OLD Tables'!D111+'OLD Tables'!D142</f>
        <v>24506.716666666667</v>
      </c>
      <c r="G173" s="96">
        <f>+GETPIVOTDATA("Sum of Old-HS % of Total",'Pivot-HS Student % of Undergrad'!$A$3,"State","MD","Category",9,"Category2","Two-Year")</f>
        <v>0</v>
      </c>
      <c r="H173" s="173">
        <f>+'OLD Tables'!E111+'OLD Tables'!E142</f>
        <v>4122.5749999999998</v>
      </c>
      <c r="I173" s="96">
        <f>+GETPIVOTDATA("Sum of Old-HS % of Total",'Pivot-HS Student % of Undergrad'!$A$3,"State","MD","Category",10,"Category2","Two-Year")</f>
        <v>0</v>
      </c>
      <c r="J173" s="173">
        <f>+'OLD Tables'!F111+'OLD Tables'!F142</f>
        <v>98596.618333333332</v>
      </c>
      <c r="K173" s="96">
        <f>+GETPIVOTDATA("Sum of Old-HS % of Total",'Pivot-HS Student % of Undergrad'!$A$3,"State","MD","Category2","Group2")</f>
        <v>0</v>
      </c>
    </row>
    <row r="174" spans="1:19" ht="15" customHeight="1">
      <c r="B174" s="32"/>
      <c r="C174" s="96"/>
      <c r="D174" s="173"/>
      <c r="E174" s="96"/>
      <c r="F174" s="173"/>
      <c r="G174" s="96"/>
      <c r="H174" s="173"/>
      <c r="I174" s="96"/>
      <c r="J174" s="173"/>
      <c r="K174" s="96"/>
    </row>
    <row r="175" spans="1:19" ht="15" customHeight="1">
      <c r="A175" s="1" t="s">
        <v>87</v>
      </c>
      <c r="B175" s="32">
        <f>+'OLD Tables'!B113+'OLD Tables'!B144</f>
        <v>0</v>
      </c>
      <c r="C175" s="96">
        <f>+GETPIVOTDATA("Sum of Old-HS % of Total",'Pivot-HS Student % of Undergrad'!$A$3,"State","MS","Category",7,"Category2","Two-Year")</f>
        <v>0</v>
      </c>
      <c r="D175" s="173">
        <f>+'OLD Tables'!C113+'OLD Tables'!C144</f>
        <v>34868.166666666664</v>
      </c>
      <c r="E175" s="96">
        <f>+GETPIVOTDATA("Sum of Old-HS % of Total",'Pivot-HS Student % of Undergrad'!$A$3,"State","MS","Category",8,"Category2","Two-Year")</f>
        <v>6.529355811652462E-3</v>
      </c>
      <c r="F175" s="173">
        <f>+'OLD Tables'!D113+'OLD Tables'!D144</f>
        <v>35043.466666666674</v>
      </c>
      <c r="G175" s="96">
        <f>+GETPIVOTDATA("Sum of Old-HS % of Total",'Pivot-HS Student % of Undergrad'!$A$3,"State","MS","Category",9,"Category2","Two-Year")</f>
        <v>7.7094731875841814E-3</v>
      </c>
      <c r="H175" s="173">
        <f>+'OLD Tables'!E113+'OLD Tables'!E144</f>
        <v>3999.166666666667</v>
      </c>
      <c r="I175" s="96">
        <f>+GETPIVOTDATA("Sum of Old-HS % of Total",'Pivot-HS Student % of Undergrad'!$A$3,"State","MS","Category",10,"Category2","Two-Year")</f>
        <v>1.3719524901021046E-2</v>
      </c>
      <c r="J175" s="173">
        <f>+'OLD Tables'!F113+'OLD Tables'!F144</f>
        <v>73910.8</v>
      </c>
      <c r="K175" s="96">
        <f>+GETPIVOTDATA("Sum of Old-HS % of Total",'Pivot-HS Student % of Undergrad'!$A$3,"State","MS","Category2","Group2")</f>
        <v>7.4779328596091509E-3</v>
      </c>
    </row>
    <row r="176" spans="1:19" ht="15" customHeight="1">
      <c r="A176" s="1" t="s">
        <v>88</v>
      </c>
      <c r="B176" s="32">
        <f>+'OLD Tables'!B114+'OLD Tables'!B145</f>
        <v>0</v>
      </c>
      <c r="C176" s="96">
        <f>+GETPIVOTDATA("Sum of Old-HS % of Total",'Pivot-HS Student % of Undergrad'!$A$3,"State","NC","Category",7,"Category2","Two-Year")</f>
        <v>0</v>
      </c>
      <c r="D176" s="173">
        <f>+'OLD Tables'!C114+'OLD Tables'!C145</f>
        <v>80872.533333333326</v>
      </c>
      <c r="E176" s="96">
        <f>+GETPIVOTDATA("Sum of Old-HS % of Total",'Pivot-HS Student % of Undergrad'!$A$3,"State","NC","Category",8,"Category2","Two-Year")</f>
        <v>2.4309036112796435E-2</v>
      </c>
      <c r="F176" s="173">
        <f>+'OLD Tables'!D114+'OLD Tables'!D145</f>
        <v>70944.066666666666</v>
      </c>
      <c r="G176" s="96">
        <f>+GETPIVOTDATA("Sum of Old-HS % of Total",'Pivot-HS Student % of Undergrad'!$A$3,"State","NC","Category",9,"Category2","Two-Year")</f>
        <v>6.3909502415517946E-2</v>
      </c>
      <c r="H176" s="173">
        <f>+'OLD Tables'!E114+'OLD Tables'!E145</f>
        <v>29508.333333333332</v>
      </c>
      <c r="I176" s="96">
        <f>+GETPIVOTDATA("Sum of Old-HS % of Total",'Pivot-HS Student % of Undergrad'!$A$3,"State","NC","Category",10,"Category2","Two-Year")</f>
        <v>7.5532335498446762E-2</v>
      </c>
      <c r="J176" s="173">
        <f>+'OLD Tables'!F114+'OLD Tables'!F145</f>
        <v>181324.93333333332</v>
      </c>
      <c r="K176" s="96">
        <f>+GETPIVOTDATA("Sum of Old-HS % of Total",'Pivot-HS Student % of Undergrad'!$A$3,"State","NC","Category2","Group2")</f>
        <v>4.8138810841972829E-2</v>
      </c>
    </row>
    <row r="177" spans="1:19" ht="15" customHeight="1">
      <c r="A177" s="1" t="s">
        <v>89</v>
      </c>
      <c r="B177" s="32">
        <f>+'OLD Tables'!B115+'OLD Tables'!B146</f>
        <v>8546.2000000000007</v>
      </c>
      <c r="C177" s="96">
        <f>+GETPIVOTDATA("Sum of Old-HS % of Total",'Pivot-HS Student % of Undergrad'!$A$3,"State","OK","Category",7,"Category2","Two-Year")</f>
        <v>6.6345276263134493E-3</v>
      </c>
      <c r="D177" s="173">
        <f>+'OLD Tables'!C115+'OLD Tables'!C146</f>
        <v>28868.533333333333</v>
      </c>
      <c r="E177" s="96">
        <f>+GETPIVOTDATA("Sum of Old-HS % of Total",'Pivot-HS Student % of Undergrad'!$A$3,"State","OK","Category",8,"Category2","Two-Year")</f>
        <v>1.199576008941685E-2</v>
      </c>
      <c r="F177" s="173">
        <f>+'OLD Tables'!D115+'OLD Tables'!D146</f>
        <v>3750.1333333333332</v>
      </c>
      <c r="G177" s="96">
        <f>+GETPIVOTDATA("Sum of Old-HS % of Total",'Pivot-HS Student % of Undergrad'!$A$3,"State","OK","Category",9,"Category2","Two-Year")</f>
        <v>2.7581241555855791E-2</v>
      </c>
      <c r="H177" s="173">
        <f>+'OLD Tables'!E115+'OLD Tables'!E146</f>
        <v>14858</v>
      </c>
      <c r="I177" s="96">
        <f>+GETPIVOTDATA("Sum of Old-HS % of Total",'Pivot-HS Student % of Undergrad'!$A$3,"State","OK","Category",10,"Category2","Two-Year")</f>
        <v>2.6109391124871002E-2</v>
      </c>
      <c r="J177" s="173">
        <f>+'OLD Tables'!F115+'OLD Tables'!F146</f>
        <v>56022.866666666669</v>
      </c>
      <c r="K177" s="96">
        <f>+GETPIVOTDATA("Sum of Old-HS % of Total",'Pivot-HS Student % of Undergrad'!$A$3,"State","OK","Category2","Group2")</f>
        <v>1.596431457154995E-2</v>
      </c>
    </row>
    <row r="178" spans="1:19" ht="15" customHeight="1">
      <c r="A178" s="1" t="s">
        <v>90</v>
      </c>
      <c r="B178" s="32">
        <f>+'OLD Tables'!B116+'OLD Tables'!B147</f>
        <v>0</v>
      </c>
      <c r="C178" s="96">
        <f>+GETPIVOTDATA("Sum of Old-HS % of Total",'Pivot-HS Student % of Undergrad'!$A$3,"State","SC","Category",7,"Category2","Two-Year")</f>
        <v>0</v>
      </c>
      <c r="D178" s="173">
        <f>+'OLD Tables'!C116+'OLD Tables'!C147</f>
        <v>47656.1</v>
      </c>
      <c r="E178" s="96">
        <f>+GETPIVOTDATA("Sum of Old-HS % of Total",'Pivot-HS Student % of Undergrad'!$A$3,"State","SC","Category",8,"Category2","Two-Year")</f>
        <v>1.8218024555093682E-2</v>
      </c>
      <c r="F178" s="173">
        <f>+'OLD Tables'!D116+'OLD Tables'!D147</f>
        <v>29146.000000000004</v>
      </c>
      <c r="G178" s="96">
        <f>+GETPIVOTDATA("Sum of Old-HS % of Total",'Pivot-HS Student % of Undergrad'!$A$3,"State","SC","Category",9,"Category2","Two-Year")</f>
        <v>3.1225554106910039E-2</v>
      </c>
      <c r="H178" s="173">
        <f>+'OLD Tables'!E116+'OLD Tables'!E147</f>
        <v>8331.5333333333347</v>
      </c>
      <c r="I178" s="96">
        <f>+GETPIVOTDATA("Sum of Old-HS % of Total",'Pivot-HS Student % of Undergrad'!$A$3,"State","SC","Category",10,"Category2","Two-Year")</f>
        <v>6.1466695392339614E-2</v>
      </c>
      <c r="J178" s="173">
        <f>+'OLD Tables'!F116+'OLD Tables'!F147</f>
        <v>85133.633333333346</v>
      </c>
      <c r="K178" s="96">
        <f>+GETPIVOTDATA("Sum of Old-HS % of Total",'Pivot-HS Student % of Undergrad'!$A$3,"State","SC","Category2","Group2")</f>
        <v>2.6403561837433375E-2</v>
      </c>
    </row>
    <row r="179" spans="1:19" ht="15" customHeight="1">
      <c r="B179" s="32"/>
      <c r="C179" s="96"/>
      <c r="D179" s="173"/>
      <c r="E179" s="96"/>
      <c r="F179" s="173"/>
      <c r="G179" s="96"/>
      <c r="H179" s="173"/>
      <c r="I179" s="96"/>
      <c r="J179" s="173"/>
      <c r="K179" s="96"/>
    </row>
    <row r="180" spans="1:19" ht="15" customHeight="1">
      <c r="A180" s="1" t="s">
        <v>91</v>
      </c>
      <c r="B180" s="32">
        <f>+'OLD Tables'!B118+'OLD Tables'!B149</f>
        <v>0</v>
      </c>
      <c r="C180" s="96">
        <f>+GETPIVOTDATA("Sum of Old-HS % of Total",'Pivot-HS Student % of Undergrad'!$A$3,"State","TN","Category",7,"Category2","Two-Year")</f>
        <v>0</v>
      </c>
      <c r="D180" s="173">
        <f>+'OLD Tables'!C118+'OLD Tables'!C149</f>
        <v>36542.833333333336</v>
      </c>
      <c r="E180" s="96">
        <f>+GETPIVOTDATA("Sum of Old-HS % of Total",'Pivot-HS Student % of Undergrad'!$A$3,"State","TN","Category",8,"Category2","Two-Year")</f>
        <v>2.8853810824739916E-2</v>
      </c>
      <c r="F180" s="173">
        <f>+'OLD Tables'!D118+'OLD Tables'!D149</f>
        <v>30379.800000000003</v>
      </c>
      <c r="G180" s="96">
        <f>+GETPIVOTDATA("Sum of Old-HS % of Total",'Pivot-HS Student % of Undergrad'!$A$3,"State","TN","Category",9,"Category2","Two-Year")</f>
        <v>4.2111315194087298E-2</v>
      </c>
      <c r="H180" s="173">
        <f>+'OLD Tables'!E118+'OLD Tables'!E149</f>
        <v>0</v>
      </c>
      <c r="I180" s="96">
        <f>+GETPIVOTDATA("Sum of Old-HS % of Total",'Pivot-HS Student % of Undergrad'!$A$3,"State","TN","Category",10,"Category2","Two-Year")</f>
        <v>0</v>
      </c>
      <c r="J180" s="173">
        <f>+'OLD Tables'!F118+'OLD Tables'!F149</f>
        <v>66922.633333333331</v>
      </c>
      <c r="K180" s="96">
        <f>+GETPIVOTDATA("Sum of Old-HS % of Total",'Pivot-HS Student % of Undergrad'!$A$3,"State","TN","Category2","Group2")</f>
        <v>3.4872108539263501E-2</v>
      </c>
    </row>
    <row r="181" spans="1:19" ht="15" customHeight="1">
      <c r="A181" s="1" t="s">
        <v>92</v>
      </c>
      <c r="B181" s="32">
        <f>+'OLD Tables'!B119+'OLD Tables'!B150</f>
        <v>25481.348888888886</v>
      </c>
      <c r="C181" s="210">
        <f>+GETPIVOTDATA("Sum of Old-HS % of Total",'Pivot-HS Student % of Undergrad'!$A$3,"State","TX","Category",7,"Category2","Two-Year")</f>
        <v>0.15903762301064286</v>
      </c>
      <c r="D181" s="173">
        <f>+'OLD Tables'!C119+'OLD Tables'!C150</f>
        <v>387377.65555555566</v>
      </c>
      <c r="E181" s="210">
        <f>+GETPIVOTDATA("Sum of Old-HS % of Total",'Pivot-HS Student % of Undergrad'!$A$3,"State","TX","Category",8,"Category2","Two-Year")</f>
        <v>5.6787714690661135E-2</v>
      </c>
      <c r="F181" s="173">
        <f>+'OLD Tables'!D119+'OLD Tables'!D150</f>
        <v>86565.013333333336</v>
      </c>
      <c r="G181" s="210">
        <f>+GETPIVOTDATA("Sum of Old-HS % of Total",'Pivot-HS Student % of Undergrad'!$A$3,"State","TX","Category",9,"Category2","Two-Year")</f>
        <v>8.6544514733800398E-2</v>
      </c>
      <c r="H181" s="173">
        <f>+'OLD Tables'!E119+'OLD Tables'!E150</f>
        <v>14616.032222222224</v>
      </c>
      <c r="I181" s="210">
        <f>+GETPIVOTDATA("Sum of Old-HS % of Total",'Pivot-HS Student % of Undergrad'!$A$3,"State","TX","Category",10,"Category2","Two-Year")</f>
        <v>7.9335560125828361E-2</v>
      </c>
      <c r="J181" s="173">
        <f>+'OLD Tables'!F119+'OLD Tables'!F150</f>
        <v>514040.0500000001</v>
      </c>
      <c r="K181" s="210">
        <f>+GETPIVOTDATA("Sum of Old-HS % of Total",'Pivot-HS Student % of Undergrad'!$A$3,"State","TX","Category2","Group2")</f>
        <v>6.7511995259166513E-2</v>
      </c>
    </row>
    <row r="182" spans="1:19" ht="15" customHeight="1">
      <c r="A182" s="1" t="s">
        <v>93</v>
      </c>
      <c r="B182" s="32">
        <f>+'OLD Tables'!B120+'OLD Tables'!B151</f>
        <v>0</v>
      </c>
      <c r="C182" s="210">
        <f>+GETPIVOTDATA("Sum of Old-HS % of Total",'Pivot-HS Student % of Undergrad'!$A$3,"State","VA","Category",7,"Category2","Two-Year")</f>
        <v>0</v>
      </c>
      <c r="D182" s="173">
        <f>+'OLD Tables'!C120+'OLD Tables'!C151</f>
        <v>70279.899999999994</v>
      </c>
      <c r="E182" s="210">
        <f>+GETPIVOTDATA("Sum of Old-HS % of Total",'Pivot-HS Student % of Undergrad'!$A$3,"State","VA","Category",8,"Category2","Two-Year")</f>
        <v>3.0949579230097557E-2</v>
      </c>
      <c r="F182" s="173">
        <f>+'OLD Tables'!D120+'OLD Tables'!D151</f>
        <v>46073.933333333342</v>
      </c>
      <c r="G182" s="210">
        <f>+GETPIVOTDATA("Sum of Old-HS % of Total",'Pivot-HS Student % of Undergrad'!$A$3,"State","VA","Category",9,"Category2","Two-Year")</f>
        <v>0.20198767488196506</v>
      </c>
      <c r="H182" s="173">
        <f>+'OLD Tables'!E120+'OLD Tables'!E151</f>
        <v>9766.3666666666668</v>
      </c>
      <c r="I182" s="210">
        <f>+GETPIVOTDATA("Sum of Old-HS % of Total",'Pivot-HS Student % of Undergrad'!$A$3,"State","VA","Category",10,"Category2","Two-Year")</f>
        <v>0.25128075606417943</v>
      </c>
      <c r="J182" s="173">
        <f>+'OLD Tables'!F120+'OLD Tables'!F151</f>
        <v>126120.20000000001</v>
      </c>
      <c r="K182" s="210">
        <f>+GETPIVOTDATA("Sum of Old-HS % of Total",'Pivot-HS Student % of Undergrad'!$A$3,"State","VA","Category2","Group2")</f>
        <v>0.11049459166731419</v>
      </c>
    </row>
    <row r="183" spans="1:19" ht="15" customHeight="1">
      <c r="A183" s="3" t="s">
        <v>94</v>
      </c>
      <c r="B183" s="9">
        <f>+'OLD Tables'!B121+'OLD Tables'!B152</f>
        <v>4993.0333333333328</v>
      </c>
      <c r="C183" s="212">
        <f>+GETPIVOTDATA("Sum of Old-HS % of Total",'Pivot-HS Student % of Undergrad'!$A$3,"State","WV","Category",7,"Category2","Two-Year")</f>
        <v>3.9955671569052879E-2</v>
      </c>
      <c r="D183" s="174">
        <f>+'OLD Tables'!C121+'OLD Tables'!C152</f>
        <v>0</v>
      </c>
      <c r="E183" s="212">
        <f>+GETPIVOTDATA("Sum of Old-HS % of Total",'Pivot-HS Student % of Undergrad'!$A$3,"State","WV","Category",8,"Category2","Two-Year")</f>
        <v>0</v>
      </c>
      <c r="F183" s="174">
        <f>+'OLD Tables'!D121+'OLD Tables'!D152</f>
        <v>2555.5433333333335</v>
      </c>
      <c r="G183" s="212">
        <f>+GETPIVOTDATA("Sum of Old-HS % of Total",'Pivot-HS Student % of Undergrad'!$A$3,"State","WV","Category",9,"Category2","Two-Year")</f>
        <v>4.0121931017930955E-2</v>
      </c>
      <c r="H183" s="174">
        <f>+'OLD Tables'!E121+'OLD Tables'!E152</f>
        <v>11955.54</v>
      </c>
      <c r="I183" s="212">
        <f>+GETPIVOTDATA("Sum of Old-HS % of Total",'Pivot-HS Student % of Undergrad'!$A$3,"State","WV","Category",10,"Category2","Two-Year")</f>
        <v>4.0716688664836555E-2</v>
      </c>
      <c r="J183" s="174">
        <f>+'OLD Tables'!F121+'OLD Tables'!F152</f>
        <v>19504.116666666669</v>
      </c>
      <c r="K183" s="212">
        <f>+GETPIVOTDATA("Sum of Old-HS % of Total",'Pivot-HS Student % of Undergrad'!$A$3,"State","WV","Category2","Group2")</f>
        <v>4.0443940467268874E-2</v>
      </c>
      <c r="P183" s="25"/>
      <c r="Q183" s="25"/>
      <c r="R183" s="25"/>
      <c r="S183" s="25"/>
    </row>
    <row r="184" spans="1:19" s="25" customFormat="1" ht="46.5" customHeight="1">
      <c r="A184" s="817" t="s">
        <v>1009</v>
      </c>
      <c r="B184" s="818"/>
      <c r="C184" s="818"/>
      <c r="D184" s="818"/>
      <c r="E184" s="818"/>
      <c r="F184" s="818"/>
      <c r="G184" s="818"/>
      <c r="H184" s="818"/>
      <c r="I184" s="818"/>
      <c r="J184" s="818"/>
      <c r="K184" s="819"/>
      <c r="L184" s="103"/>
      <c r="M184" s="103"/>
    </row>
    <row r="185" spans="1:19">
      <c r="J185" s="1"/>
      <c r="K185" s="169" t="s">
        <v>1018</v>
      </c>
      <c r="L185" s="1"/>
      <c r="M185" s="201"/>
    </row>
    <row r="186" spans="1:19" ht="18">
      <c r="A186" s="115" t="s">
        <v>228</v>
      </c>
      <c r="B186" s="22"/>
      <c r="C186" s="22"/>
      <c r="D186" s="22"/>
      <c r="E186" s="22"/>
      <c r="F186" s="22"/>
      <c r="G186" s="22"/>
      <c r="H186" s="106"/>
      <c r="I186" s="22"/>
      <c r="J186" s="1"/>
      <c r="K186" s="1"/>
      <c r="L186" s="1"/>
      <c r="M186" s="201"/>
    </row>
    <row r="187" spans="1:19" ht="15.75">
      <c r="A187" s="21"/>
      <c r="B187" s="22"/>
      <c r="C187" s="22"/>
      <c r="D187" s="22"/>
      <c r="E187" s="22"/>
      <c r="F187" s="22"/>
      <c r="G187" s="22"/>
      <c r="H187" s="106"/>
      <c r="I187" s="22"/>
      <c r="J187" s="1"/>
      <c r="K187" s="1"/>
      <c r="L187" s="1"/>
      <c r="M187" s="201"/>
    </row>
    <row r="188" spans="1:19" ht="15.75">
      <c r="A188" s="43" t="s">
        <v>47</v>
      </c>
      <c r="B188" s="22"/>
      <c r="C188" s="22"/>
      <c r="D188" s="22"/>
      <c r="E188" s="22"/>
      <c r="F188" s="22"/>
      <c r="G188" s="22"/>
      <c r="H188" s="106"/>
      <c r="I188" s="22"/>
      <c r="J188" s="1"/>
      <c r="K188" s="1"/>
      <c r="L188" s="1"/>
      <c r="M188" s="201"/>
    </row>
    <row r="189" spans="1:19" ht="15.75">
      <c r="A189" s="43" t="s">
        <v>255</v>
      </c>
      <c r="B189" s="22"/>
      <c r="C189" s="22"/>
      <c r="D189" s="22"/>
      <c r="E189" s="22"/>
      <c r="F189" s="22"/>
      <c r="G189" s="22"/>
      <c r="H189" s="106"/>
      <c r="I189" s="22"/>
      <c r="J189" s="1"/>
      <c r="K189" s="1"/>
      <c r="L189" s="1"/>
      <c r="M189" s="201"/>
    </row>
    <row r="190" spans="1:19">
      <c r="C190" s="3"/>
      <c r="D190" s="3"/>
      <c r="E190" s="3"/>
      <c r="F190" s="3"/>
      <c r="G190" s="3"/>
      <c r="H190" s="73"/>
      <c r="I190" s="25"/>
      <c r="J190" s="1"/>
      <c r="K190" s="1"/>
      <c r="L190" s="1"/>
      <c r="M190" s="201"/>
    </row>
    <row r="191" spans="1:19" ht="28.5" customHeight="1">
      <c r="A191" s="45"/>
      <c r="B191" s="268">
        <v>1</v>
      </c>
      <c r="D191" s="225">
        <v>2</v>
      </c>
      <c r="F191" s="226" t="s">
        <v>41</v>
      </c>
      <c r="H191" s="25"/>
      <c r="I191" s="25"/>
      <c r="J191" s="1"/>
      <c r="K191" s="201"/>
      <c r="L191" s="1"/>
      <c r="M191" s="1"/>
    </row>
    <row r="192" spans="1:19" ht="78" customHeight="1">
      <c r="A192" s="203"/>
      <c r="B192" s="204" t="s">
        <v>160</v>
      </c>
      <c r="C192" s="166" t="s">
        <v>24</v>
      </c>
      <c r="D192" s="205" t="s">
        <v>160</v>
      </c>
      <c r="E192" s="166" t="s">
        <v>24</v>
      </c>
      <c r="F192" s="205" t="s">
        <v>160</v>
      </c>
      <c r="G192" s="166" t="s">
        <v>24</v>
      </c>
      <c r="H192" s="1"/>
      <c r="J192" s="1"/>
      <c r="K192" s="201"/>
      <c r="L192" s="1"/>
      <c r="M192" s="1"/>
    </row>
    <row r="193" spans="1:13">
      <c r="A193" s="1" t="s">
        <v>79</v>
      </c>
      <c r="B193" s="32">
        <f>+'OLD Tables'!G101+'OLD Tables'!G132</f>
        <v>133847.69097077774</v>
      </c>
      <c r="D193" s="175">
        <f>+'OLD Tables'!H101+'OLD Tables'!H132</f>
        <v>32843.796344444447</v>
      </c>
      <c r="F193" s="175">
        <f>+'OLD Tables'!J101+'OLD Tables'!J132</f>
        <v>0</v>
      </c>
      <c r="H193" s="1"/>
      <c r="J193" s="1"/>
      <c r="K193" s="201"/>
      <c r="L193" s="1"/>
      <c r="M193" s="1"/>
    </row>
    <row r="194" spans="1:13">
      <c r="A194" s="265"/>
      <c r="B194" s="269"/>
      <c r="C194" s="261" t="s">
        <v>245</v>
      </c>
      <c r="D194" s="267" t="s">
        <v>39</v>
      </c>
      <c r="E194" s="261" t="s">
        <v>246</v>
      </c>
      <c r="F194" s="267" t="s">
        <v>39</v>
      </c>
      <c r="G194" s="261" t="s">
        <v>247</v>
      </c>
      <c r="H194" s="1" t="s">
        <v>39</v>
      </c>
      <c r="J194" s="1"/>
      <c r="K194" s="201"/>
      <c r="L194" s="1"/>
      <c r="M194" s="1"/>
    </row>
    <row r="195" spans="1:13">
      <c r="A195" s="1" t="s">
        <v>80</v>
      </c>
      <c r="B195" s="32">
        <f>+'OLD Tables'!G103+'OLD Tables'!G134</f>
        <v>1657.2333333333333</v>
      </c>
      <c r="C195" s="96">
        <f>+GETPIVOTDATA("Sum of Old-HS % of Total",'Pivot-HS Student % of Undergrad'!$A$3,"State","AL","Category",12,"Category2","Technical")</f>
        <v>7.8443993000382162E-4</v>
      </c>
      <c r="D195" s="175">
        <f>+'OLD Tables'!H103+'OLD Tables'!H134</f>
        <v>2644.5</v>
      </c>
      <c r="E195" s="96">
        <f>+GETPIVOTDATA("Sum of Old-HS % of Total",'Pivot-HS Student % of Undergrad'!$A$3,"State","AL","Category",13,"Category2","Technical")</f>
        <v>1.5806390622045755E-2</v>
      </c>
      <c r="F195" s="175">
        <f>+'OLD Tables'!I103+'OLD Tables'!I134</f>
        <v>4301.7333333333336</v>
      </c>
      <c r="G195" s="96">
        <f>+GETPIVOTDATA("Sum of Old-HS % of Total",'Pivot-HS Student % of Undergrad'!$A$3,"State","AL","Category2","Group3")</f>
        <v>1.0019217059789852E-2</v>
      </c>
      <c r="H195" s="1"/>
      <c r="J195" s="1"/>
      <c r="K195" s="201"/>
      <c r="L195" s="1"/>
      <c r="M195" s="1"/>
    </row>
    <row r="196" spans="1:13">
      <c r="A196" s="1" t="s">
        <v>81</v>
      </c>
      <c r="B196" s="32">
        <f>+'OLD Tables'!G104+'OLD Tables'!G135</f>
        <v>0</v>
      </c>
      <c r="C196" s="96">
        <f>+GETPIVOTDATA("Sum of Old-HS % of Total",'Pivot-HS Student % of Undergrad'!$A$3,"State","AR","Category",12,"Category2","Technical")</f>
        <v>0</v>
      </c>
      <c r="D196" s="175">
        <f>+'OLD Tables'!H104+'OLD Tables'!H135</f>
        <v>0</v>
      </c>
      <c r="E196" s="96">
        <f>+GETPIVOTDATA("Sum of Old-HS % of Total",'Pivot-HS Student % of Undergrad'!$A$3,"State","AR","Category",13,"Category2","Technical")</f>
        <v>0</v>
      </c>
      <c r="F196" s="175">
        <f>+'OLD Tables'!I104+'OLD Tables'!I135</f>
        <v>0</v>
      </c>
      <c r="G196" s="96">
        <f>+GETPIVOTDATA("Sum of Old-HS % of Total",'Pivot-HS Student % of Undergrad'!$A$3,"State","AR","Category2","Group3")</f>
        <v>0</v>
      </c>
      <c r="H196" s="1"/>
      <c r="J196" s="1"/>
      <c r="K196" s="201"/>
      <c r="L196" s="1"/>
      <c r="M196" s="1"/>
    </row>
    <row r="197" spans="1:13">
      <c r="A197" s="1" t="s">
        <v>118</v>
      </c>
      <c r="B197" s="32">
        <f>+'OLD Tables'!G105+'OLD Tables'!G136</f>
        <v>0</v>
      </c>
      <c r="C197" s="96">
        <f>+GETPIVOTDATA("Sum of Old-HS % of Total",'Pivot-HS Student % of Undergrad'!$A$3,"State","DE","Category",12,"Category2","Technical")</f>
        <v>0</v>
      </c>
      <c r="D197" s="175">
        <f>+'OLD Tables'!H105+'OLD Tables'!H136</f>
        <v>0</v>
      </c>
      <c r="E197" s="96">
        <f>+GETPIVOTDATA("Sum of Old-HS % of Total",'Pivot-HS Student % of Undergrad'!$A$3,"State","DE","Category",13,"Category2","Technical")</f>
        <v>0</v>
      </c>
      <c r="F197" s="175">
        <f>+'OLD Tables'!I105+'OLD Tables'!I136</f>
        <v>0</v>
      </c>
      <c r="G197" s="96">
        <f>+GETPIVOTDATA("Sum of Old-HS % of Total",'Pivot-HS Student % of Undergrad'!$A$3,"State","DE","Category2","Group3")</f>
        <v>0</v>
      </c>
      <c r="H197" s="1"/>
      <c r="J197" s="1"/>
      <c r="K197" s="201"/>
      <c r="L197" s="1"/>
      <c r="M197" s="1"/>
    </row>
    <row r="198" spans="1:13">
      <c r="A198" s="1" t="s">
        <v>82</v>
      </c>
      <c r="B198" s="32">
        <f>+'OLD Tables'!G106+'OLD Tables'!G137</f>
        <v>0</v>
      </c>
      <c r="C198" s="96">
        <f>+GETPIVOTDATA("Sum of Old-HS % of Total",'Pivot-HS Student % of Undergrad'!$A$3,"State","FL","Category",12,"Category2","Technical")</f>
        <v>0</v>
      </c>
      <c r="D198" s="175">
        <f>+'OLD Tables'!H106+'OLD Tables'!H137</f>
        <v>0</v>
      </c>
      <c r="E198" s="96">
        <f>+GETPIVOTDATA("Sum of Old-HS % of Total",'Pivot-HS Student % of Undergrad'!$A$3,"State","FL","Category",13,"Category2","Technical")</f>
        <v>0</v>
      </c>
      <c r="F198" s="175">
        <f>+'OLD Tables'!I106+'OLD Tables'!I137</f>
        <v>0</v>
      </c>
      <c r="G198" s="96">
        <f>+GETPIVOTDATA("Sum of Old-HS % of Total",'Pivot-HS Student % of Undergrad'!$A$3,"State","FL","Category2","Group3")</f>
        <v>0</v>
      </c>
      <c r="H198" s="1"/>
      <c r="J198" s="1"/>
      <c r="K198" s="201"/>
      <c r="L198" s="1"/>
      <c r="M198" s="1"/>
    </row>
    <row r="199" spans="1:13">
      <c r="B199" s="32"/>
      <c r="C199" s="96"/>
      <c r="D199" s="175"/>
      <c r="E199" s="96"/>
      <c r="F199" s="175"/>
      <c r="G199" s="96"/>
      <c r="H199" s="1"/>
      <c r="J199" s="1"/>
      <c r="K199" s="201"/>
      <c r="L199" s="1"/>
      <c r="M199" s="1"/>
    </row>
    <row r="200" spans="1:13">
      <c r="A200" s="1" t="s">
        <v>83</v>
      </c>
      <c r="B200" s="32">
        <f>+'OLD Tables'!G108+'OLD Tables'!G139</f>
        <v>103051.67899299996</v>
      </c>
      <c r="C200" s="96">
        <f>+GETPIVOTDATA("Sum of Old-HS % of Total",'Pivot-HS Student % of Undergrad'!$A$3,"State","GA","Category",12,"Category2","Technical")</f>
        <v>2.7367893169797042E-2</v>
      </c>
      <c r="D200" s="175">
        <f>+'OLD Tables'!H108+'OLD Tables'!H139</f>
        <v>0</v>
      </c>
      <c r="E200" s="96">
        <f>+GETPIVOTDATA("Sum of Old-HS % of Total",'Pivot-HS Student % of Undergrad'!$A$3,"State","GA","Category",13,"Category2","Technical")</f>
        <v>0</v>
      </c>
      <c r="F200" s="175">
        <f>+'OLD Tables'!I108+'OLD Tables'!I139</f>
        <v>103051.67899299996</v>
      </c>
      <c r="G200" s="96">
        <f>+GETPIVOTDATA("Sum of Old-HS % of Total",'Pivot-HS Student % of Undergrad'!$A$3,"State","GA","Category2","Group3")</f>
        <v>2.7367893169797042E-2</v>
      </c>
      <c r="H200" s="1"/>
      <c r="J200" s="1"/>
      <c r="K200" s="201"/>
      <c r="L200" s="1"/>
      <c r="M200" s="1"/>
    </row>
    <row r="201" spans="1:13">
      <c r="A201" s="1" t="s">
        <v>84</v>
      </c>
      <c r="B201" s="32">
        <f>+'OLD Tables'!G109+'OLD Tables'!G140</f>
        <v>4584.5</v>
      </c>
      <c r="C201" s="96">
        <f>+GETPIVOTDATA("Sum of Old-HS % of Total",'Pivot-HS Student % of Undergrad'!$A$3,"State","KY","Category",12,"Category2","Technical")</f>
        <v>6.314756243865198E-2</v>
      </c>
      <c r="D201" s="175">
        <f>+'OLD Tables'!H109+'OLD Tables'!H140</f>
        <v>0</v>
      </c>
      <c r="E201" s="96">
        <f>+GETPIVOTDATA("Sum of Old-HS % of Total",'Pivot-HS Student % of Undergrad'!$A$3,"State","KY","Category",13,"Category2","Technical")</f>
        <v>0</v>
      </c>
      <c r="F201" s="175">
        <f>+'OLD Tables'!I109+'OLD Tables'!I140</f>
        <v>4584.5</v>
      </c>
      <c r="G201" s="96">
        <f>+GETPIVOTDATA("Sum of Old-HS % of Total",'Pivot-HS Student % of Undergrad'!$A$3,"State","KY","Category2","Group3")</f>
        <v>6.314756243865198E-2</v>
      </c>
      <c r="H201" s="1"/>
      <c r="J201" s="1"/>
      <c r="K201" s="201"/>
      <c r="L201" s="1"/>
      <c r="M201" s="1"/>
    </row>
    <row r="202" spans="1:13">
      <c r="A202" s="1" t="s">
        <v>85</v>
      </c>
      <c r="B202" s="32">
        <f>+'OLD Tables'!G110+'OLD Tables'!G141</f>
        <v>19830.866666666669</v>
      </c>
      <c r="C202" s="96">
        <f>+GETPIVOTDATA("Sum of Old-HS % of Total",'Pivot-HS Student % of Undergrad'!$A$3,"State","LA","Category",12,"Category2","Technical")</f>
        <v>0.13525883891441962</v>
      </c>
      <c r="D202" s="175">
        <f>+'OLD Tables'!H110+'OLD Tables'!H141</f>
        <v>0</v>
      </c>
      <c r="E202" s="96">
        <f>+GETPIVOTDATA("Sum of Old-HS % of Total",'Pivot-HS Student % of Undergrad'!$A$3,"State","LA","Category",13,"Category2","Technical")</f>
        <v>0</v>
      </c>
      <c r="F202" s="175">
        <f>+'OLD Tables'!I110+'OLD Tables'!I141</f>
        <v>19830.866666666669</v>
      </c>
      <c r="G202" s="96">
        <f>+GETPIVOTDATA("Sum of Old-HS % of Total",'Pivot-HS Student % of Undergrad'!$A$3,"State","LA","Category2","Group3")</f>
        <v>0.13525883891441962</v>
      </c>
      <c r="H202" s="1"/>
      <c r="J202" s="1"/>
      <c r="K202" s="201"/>
      <c r="L202" s="1"/>
      <c r="M202" s="1"/>
    </row>
    <row r="203" spans="1:13">
      <c r="A203" s="1" t="s">
        <v>86</v>
      </c>
      <c r="B203" s="32">
        <f>+'OLD Tables'!G111+'OLD Tables'!G142</f>
        <v>0</v>
      </c>
      <c r="C203" s="96">
        <f>+GETPIVOTDATA("Sum of Old-HS % of Total",'Pivot-HS Student % of Undergrad'!$A$3,"State","MD","Category",12,"Category2","Technical")</f>
        <v>0</v>
      </c>
      <c r="D203" s="175">
        <f>+'OLD Tables'!H111+'OLD Tables'!H142</f>
        <v>0</v>
      </c>
      <c r="E203" s="96">
        <f>+GETPIVOTDATA("Sum of Old-HS % of Total",'Pivot-HS Student % of Undergrad'!$A$3,"State","MD","Category",13,"Category2","Technical")</f>
        <v>0</v>
      </c>
      <c r="F203" s="175">
        <f>+'OLD Tables'!I111+'OLD Tables'!I142</f>
        <v>0</v>
      </c>
      <c r="G203" s="96">
        <f>+GETPIVOTDATA("Sum of Old-HS % of Total",'Pivot-HS Student % of Undergrad'!$A$3,"State","MD","Category2","Group3")</f>
        <v>0</v>
      </c>
      <c r="H203" s="1"/>
      <c r="J203" s="1"/>
      <c r="K203" s="201"/>
      <c r="L203" s="1"/>
      <c r="M203" s="1"/>
    </row>
    <row r="204" spans="1:13">
      <c r="B204" s="32"/>
      <c r="C204" s="96"/>
      <c r="D204" s="175"/>
      <c r="E204" s="96"/>
      <c r="F204" s="175"/>
      <c r="G204" s="96"/>
      <c r="H204" s="1"/>
      <c r="J204" s="1"/>
      <c r="K204" s="201"/>
      <c r="L204" s="1"/>
      <c r="M204" s="1"/>
    </row>
    <row r="205" spans="1:13">
      <c r="A205" s="1" t="s">
        <v>87</v>
      </c>
      <c r="B205" s="32">
        <f>+'OLD Tables'!G113+'OLD Tables'!G144</f>
        <v>0</v>
      </c>
      <c r="C205" s="96">
        <f>+GETPIVOTDATA("Sum of Old-HS % of Total",'Pivot-HS Student % of Undergrad'!$A$3,"State","MS","Category",12,"Category2","Technical")</f>
        <v>0</v>
      </c>
      <c r="D205" s="175">
        <f>+'OLD Tables'!H113+'OLD Tables'!H144</f>
        <v>0</v>
      </c>
      <c r="E205" s="96">
        <f>+GETPIVOTDATA("Sum of Old-HS % of Total",'Pivot-HS Student % of Undergrad'!$A$3,"State","MS","Category",13,"Category2","Technical")</f>
        <v>0</v>
      </c>
      <c r="F205" s="175">
        <f>+'OLD Tables'!I113+'OLD Tables'!I144</f>
        <v>0</v>
      </c>
      <c r="G205" s="96">
        <f>+GETPIVOTDATA("Sum of Old-HS % of Total",'Pivot-HS Student % of Undergrad'!$A$3,"State","MS","Category2","Group3")</f>
        <v>0</v>
      </c>
      <c r="H205" s="1"/>
      <c r="J205" s="1"/>
      <c r="K205" s="201"/>
      <c r="L205" s="1"/>
      <c r="M205" s="1"/>
    </row>
    <row r="206" spans="1:13">
      <c r="A206" s="1" t="s">
        <v>88</v>
      </c>
      <c r="B206" s="32">
        <f>+'OLD Tables'!G114+'OLD Tables'!G145</f>
        <v>0</v>
      </c>
      <c r="C206" s="96">
        <f>+GETPIVOTDATA("Sum of Old-HS % of Total",'Pivot-HS Student % of Undergrad'!$A$3,"State","NC","Category",12,"Category2","Technical")</f>
        <v>0</v>
      </c>
      <c r="D206" s="175">
        <f>+'OLD Tables'!H114+'OLD Tables'!H145</f>
        <v>0</v>
      </c>
      <c r="E206" s="96">
        <f>+GETPIVOTDATA("Sum of Old-HS % of Total",'Pivot-HS Student % of Undergrad'!$A$3,"State","NC","Category",13,"Category2","Technical")</f>
        <v>0</v>
      </c>
      <c r="F206" s="175">
        <f>+'OLD Tables'!I114+'OLD Tables'!I145</f>
        <v>0</v>
      </c>
      <c r="G206" s="96">
        <f>+GETPIVOTDATA("Sum of Old-HS % of Total",'Pivot-HS Student % of Undergrad'!$A$3,"State","NC","Category2","Group3")</f>
        <v>0</v>
      </c>
      <c r="H206" s="1"/>
      <c r="J206" s="1"/>
      <c r="K206" s="201"/>
      <c r="L206" s="1"/>
      <c r="M206" s="1"/>
    </row>
    <row r="207" spans="1:13">
      <c r="A207" s="1" t="s">
        <v>89</v>
      </c>
      <c r="B207" s="32">
        <f>+'OLD Tables'!G115+'OLD Tables'!G146</f>
        <v>4723.4119777777778</v>
      </c>
      <c r="C207" s="96">
        <f>+GETPIVOTDATA("Sum of Old-HS % of Total",'Pivot-HS Student % of Undergrad'!$A$3,"State","OK","Category",12,"Category2","Technical")</f>
        <v>0</v>
      </c>
      <c r="D207" s="175">
        <f>+'OLD Tables'!H115+'OLD Tables'!H146</f>
        <v>16921.855233333339</v>
      </c>
      <c r="E207" s="96">
        <f>+GETPIVOTDATA("Sum of Old-HS % of Total",'Pivot-HS Student % of Undergrad'!$A$3,"State","OK","Category",13,"Category2","Technical")</f>
        <v>0</v>
      </c>
      <c r="F207" s="175">
        <f>+'OLD Tables'!I115+'OLD Tables'!I146</f>
        <v>21645.267211111117</v>
      </c>
      <c r="G207" s="96">
        <f>+GETPIVOTDATA("Sum of Old-HS % of Total",'Pivot-HS Student % of Undergrad'!$A$3,"State","OK","Category2","Group3")</f>
        <v>0</v>
      </c>
      <c r="H207" s="1"/>
      <c r="J207" s="1"/>
      <c r="K207" s="201"/>
      <c r="L207" s="1"/>
      <c r="M207" s="1"/>
    </row>
    <row r="208" spans="1:13">
      <c r="A208" s="1" t="s">
        <v>90</v>
      </c>
      <c r="B208" s="32">
        <f>+'OLD Tables'!G116+'OLD Tables'!G147</f>
        <v>0</v>
      </c>
      <c r="C208" s="96">
        <f>+GETPIVOTDATA("Sum of Old-HS % of Total",'Pivot-HS Student % of Undergrad'!$A$3,"State","SC","Category",12,"Category2","Technical")</f>
        <v>0</v>
      </c>
      <c r="D208" s="175">
        <f>+'OLD Tables'!H116+'OLD Tables'!H147</f>
        <v>0</v>
      </c>
      <c r="E208" s="96">
        <f>+GETPIVOTDATA("Sum of Old-HS % of Total",'Pivot-HS Student % of Undergrad'!$A$3,"State","SC","Category",13,"Category2","Technical")</f>
        <v>0</v>
      </c>
      <c r="F208" s="175">
        <f>+'OLD Tables'!I116+'OLD Tables'!I147</f>
        <v>0</v>
      </c>
      <c r="G208" s="96">
        <f>+GETPIVOTDATA("Sum of Old-HS % of Total",'Pivot-HS Student % of Undergrad'!$A$3,"State","SC","Category2","Group3")</f>
        <v>0</v>
      </c>
      <c r="H208" s="1"/>
      <c r="J208" s="1"/>
      <c r="K208" s="201"/>
      <c r="L208" s="1"/>
      <c r="M208" s="1"/>
    </row>
    <row r="209" spans="1:13">
      <c r="B209" s="32"/>
      <c r="C209" s="96"/>
      <c r="D209" s="175"/>
      <c r="E209" s="96"/>
      <c r="F209" s="175"/>
      <c r="G209" s="96"/>
      <c r="H209" s="1"/>
      <c r="J209" s="1"/>
      <c r="K209" s="201"/>
      <c r="L209" s="1"/>
      <c r="M209" s="1"/>
    </row>
    <row r="210" spans="1:13">
      <c r="A210" s="1" t="s">
        <v>91</v>
      </c>
      <c r="B210" s="32">
        <f>+'OLD Tables'!G118+'OLD Tables'!G149</f>
        <v>0</v>
      </c>
      <c r="C210" s="96">
        <f>+GETPIVOTDATA("Sum of Old-HS % of Total",'Pivot-HS Student % of Undergrad'!$A$3,"State","TN","Category",12,"Category2","Technical")</f>
        <v>0</v>
      </c>
      <c r="D210" s="175">
        <f>+'OLD Tables'!H118+'OLD Tables'!H149</f>
        <v>13277.441111111108</v>
      </c>
      <c r="E210" s="96">
        <f>+GETPIVOTDATA("Sum of Old-HS % of Total",'Pivot-HS Student % of Undergrad'!$A$3,"State","TN","Category",13,"Category2","Technical")</f>
        <v>0</v>
      </c>
      <c r="F210" s="175">
        <f>+'OLD Tables'!I118+'OLD Tables'!I149</f>
        <v>13277.441111111108</v>
      </c>
      <c r="G210" s="96">
        <f>+GETPIVOTDATA("Sum of Old-HS % of Total",'Pivot-HS Student % of Undergrad'!$A$3,"State","TN","Category2","Group3")</f>
        <v>0</v>
      </c>
      <c r="H210" s="1"/>
      <c r="J210" s="1"/>
      <c r="K210" s="201"/>
      <c r="L210" s="1"/>
      <c r="M210" s="1"/>
    </row>
    <row r="211" spans="1:13">
      <c r="A211" s="1" t="s">
        <v>92</v>
      </c>
      <c r="B211" s="32">
        <f>+'OLD Tables'!G119+'OLD Tables'!G150</f>
        <v>0</v>
      </c>
      <c r="C211" s="210">
        <f>+GETPIVOTDATA("Sum of Old-HS % of Total",'Pivot-HS Student % of Undergrad'!$A$3,"State","TX","Category",12,"Category2","Technical")</f>
        <v>0</v>
      </c>
      <c r="D211" s="175">
        <f>+'OLD Tables'!H119+'OLD Tables'!H150</f>
        <v>0</v>
      </c>
      <c r="E211" s="210">
        <f>+GETPIVOTDATA("Sum of Old-HS % of Total",'Pivot-HS Student % of Undergrad'!$A$3,"State","TX","Category",13,"Category2","Technical")</f>
        <v>0</v>
      </c>
      <c r="F211" s="175">
        <f>+'OLD Tables'!I119+'OLD Tables'!I150</f>
        <v>0</v>
      </c>
      <c r="G211" s="96">
        <f>+GETPIVOTDATA("Sum of Old-HS % of Total",'Pivot-HS Student % of Undergrad'!$A$3,"State","TX","Category2","Group3")</f>
        <v>0</v>
      </c>
      <c r="H211" s="1"/>
      <c r="J211" s="1"/>
      <c r="K211" s="201"/>
      <c r="L211" s="1"/>
      <c r="M211" s="1"/>
    </row>
    <row r="212" spans="1:13">
      <c r="A212" s="1" t="s">
        <v>93</v>
      </c>
      <c r="B212" s="32">
        <f>+'OLD Tables'!G120+'OLD Tables'!G151</f>
        <v>0</v>
      </c>
      <c r="C212" s="210">
        <f>+GETPIVOTDATA("Sum of Old-HS % of Total",'Pivot-HS Student % of Undergrad'!$A$3,"State","VA","Category",12,"Category2","Technical")</f>
        <v>0</v>
      </c>
      <c r="D212" s="175">
        <f>+'OLD Tables'!H120+'OLD Tables'!H151</f>
        <v>0</v>
      </c>
      <c r="E212" s="210">
        <f>+GETPIVOTDATA("Sum of Old-HS % of Total",'Pivot-HS Student % of Undergrad'!$A$3,"State","VA","Category",13,"Category2","Technical")</f>
        <v>0</v>
      </c>
      <c r="F212" s="175">
        <f>+'OLD Tables'!I120+'OLD Tables'!I151</f>
        <v>0</v>
      </c>
      <c r="G212" s="96">
        <f>+GETPIVOTDATA("Sum of Old-HS % of Total",'Pivot-HS Student % of Undergrad'!$A$3,"State","VA","Category2","Group3")</f>
        <v>0</v>
      </c>
      <c r="H212" s="1"/>
      <c r="J212" s="1"/>
      <c r="K212" s="201"/>
      <c r="L212" s="1"/>
      <c r="M212" s="1"/>
    </row>
    <row r="213" spans="1:13">
      <c r="A213" s="3" t="s">
        <v>94</v>
      </c>
      <c r="B213" s="9">
        <f>+'OLD Tables'!G121+'OLD Tables'!G152</f>
        <v>0</v>
      </c>
      <c r="C213" s="212">
        <f>+GETPIVOTDATA("Sum of Old-HS % of Total",'Pivot-HS Student % of Undergrad'!$A$3,"State","WV","Category",12,"Category2","Technical")</f>
        <v>0</v>
      </c>
      <c r="D213" s="176">
        <f>+'OLD Tables'!H121+'OLD Tables'!H152</f>
        <v>0</v>
      </c>
      <c r="E213" s="212">
        <f>+GETPIVOTDATA("Sum of Old-HS % of Total",'Pivot-HS Student % of Undergrad'!$A$3,"State","WV","Category",13,"Category2","Technical")</f>
        <v>0</v>
      </c>
      <c r="F213" s="176">
        <f>+'OLD Tables'!I121+'OLD Tables'!I152</f>
        <v>0</v>
      </c>
      <c r="G213" s="212">
        <f>+GETPIVOTDATA("Sum of Old-HS % of Total",'Pivot-HS Student % of Undergrad'!$A$3,"State","WV","Category2","Group3")</f>
        <v>0</v>
      </c>
      <c r="H213" s="1"/>
      <c r="J213" s="1"/>
      <c r="K213" s="201"/>
      <c r="L213" s="1"/>
      <c r="M213" s="1"/>
    </row>
    <row r="214" spans="1:13">
      <c r="A214" s="76"/>
      <c r="J214" s="1"/>
      <c r="K214" s="1"/>
      <c r="L214" s="1"/>
      <c r="M214" s="201"/>
    </row>
    <row r="215" spans="1:13" ht="58.5" customHeight="1">
      <c r="A215" s="814" t="s">
        <v>1009</v>
      </c>
      <c r="B215" s="814"/>
      <c r="C215" s="814"/>
      <c r="D215" s="814"/>
      <c r="E215" s="814"/>
      <c r="F215" s="814"/>
      <c r="G215" s="814"/>
      <c r="H215" s="761"/>
      <c r="I215" s="761"/>
      <c r="J215" s="1"/>
      <c r="K215" s="1"/>
      <c r="L215" s="1"/>
      <c r="M215" s="201"/>
    </row>
    <row r="216" spans="1:13" ht="10.5" customHeight="1">
      <c r="A216" s="270"/>
      <c r="B216" s="270"/>
      <c r="C216" s="270"/>
      <c r="D216" s="270"/>
      <c r="E216" s="270"/>
      <c r="F216" s="270"/>
      <c r="G216" s="270"/>
      <c r="H216" s="270"/>
      <c r="I216" s="169" t="s">
        <v>1018</v>
      </c>
      <c r="J216" s="1"/>
      <c r="K216" s="1"/>
      <c r="L216" s="1"/>
      <c r="M216" s="201"/>
    </row>
    <row r="217" spans="1:13" ht="18">
      <c r="A217" s="224" t="s">
        <v>257</v>
      </c>
      <c r="B217" s="20"/>
      <c r="C217" s="20"/>
      <c r="D217" s="34"/>
      <c r="E217" s="17"/>
      <c r="F217" s="22"/>
      <c r="G217" s="22"/>
      <c r="H217" s="106"/>
    </row>
    <row r="218" spans="1:13" ht="9.75" customHeight="1">
      <c r="A218" s="21"/>
      <c r="B218" s="21"/>
      <c r="C218" s="21"/>
      <c r="D218" s="35"/>
      <c r="E218" s="17"/>
      <c r="F218" s="22"/>
      <c r="G218" s="22"/>
      <c r="H218" s="106"/>
    </row>
    <row r="219" spans="1:13" ht="15.75">
      <c r="A219" s="43" t="s">
        <v>47</v>
      </c>
      <c r="B219" s="43"/>
      <c r="C219" s="43"/>
      <c r="D219" s="62"/>
      <c r="E219" s="17"/>
      <c r="F219" s="22"/>
      <c r="G219" s="22"/>
      <c r="H219" s="106"/>
    </row>
    <row r="220" spans="1:13" ht="15.75">
      <c r="A220" s="43" t="s">
        <v>40</v>
      </c>
      <c r="B220" s="43"/>
      <c r="C220" s="43"/>
      <c r="D220" s="62"/>
      <c r="E220" s="17"/>
      <c r="F220" s="22"/>
      <c r="G220" s="22"/>
      <c r="H220" s="106"/>
    </row>
    <row r="221" spans="1:13" ht="15.75">
      <c r="A221" s="43" t="s">
        <v>256</v>
      </c>
      <c r="B221" s="43"/>
      <c r="C221" s="43"/>
      <c r="D221" s="62"/>
      <c r="E221" s="17"/>
      <c r="F221" s="22"/>
      <c r="G221" s="22"/>
      <c r="H221" s="106"/>
      <c r="I221" s="25"/>
    </row>
    <row r="222" spans="1:13" ht="13.5" customHeight="1">
      <c r="B222" s="2"/>
      <c r="C222" s="2"/>
      <c r="D222" s="26"/>
      <c r="I222" s="25"/>
    </row>
    <row r="223" spans="1:13" ht="63" customHeight="1">
      <c r="A223" s="63"/>
      <c r="B223" s="64" t="s">
        <v>77</v>
      </c>
      <c r="C223" s="36"/>
      <c r="D223" s="64" t="s">
        <v>78</v>
      </c>
      <c r="E223" s="65" t="s">
        <v>39</v>
      </c>
      <c r="F223" s="65" t="s">
        <v>56</v>
      </c>
      <c r="G223" s="66" t="s">
        <v>39</v>
      </c>
      <c r="H223" s="121" t="s">
        <v>70</v>
      </c>
      <c r="I223" s="74"/>
    </row>
    <row r="224" spans="1:13" ht="15" customHeight="1">
      <c r="A224" s="1" t="s">
        <v>79</v>
      </c>
      <c r="B224" s="67">
        <f>+GETPIVOTDATA("Grand Total FTE - Old",'FTE Pivot for regular counts'!$A$2,"Category2","Four-Year")</f>
        <v>2319134.382777778</v>
      </c>
      <c r="D224" s="15">
        <f>+GETPIVOTDATA("Grand Total FTE - Old",'FTE Pivot for regular counts'!$A$2,"Category2","Two-Year")</f>
        <v>1887361.6738888889</v>
      </c>
      <c r="F224" s="39">
        <f>+GETPIVOTDATA("Grand Total FTE - Old",'FTE Pivot for regular counts'!$A$2,"Category2","Technical")</f>
        <v>166691.48731522221</v>
      </c>
      <c r="G224" s="37"/>
      <c r="H224" s="122">
        <f>+F224+D224+B224</f>
        <v>4373187.5439818893</v>
      </c>
      <c r="I224" s="25"/>
    </row>
    <row r="225" spans="1:9" ht="13.5" customHeight="1">
      <c r="B225" s="15"/>
      <c r="D225" s="15"/>
      <c r="F225" s="39"/>
      <c r="G225" s="37"/>
      <c r="H225" s="122"/>
      <c r="I225" s="25"/>
    </row>
    <row r="226" spans="1:9" ht="15" customHeight="1">
      <c r="A226" s="1" t="s">
        <v>80</v>
      </c>
      <c r="B226" s="15">
        <f>+GETPIVOTDATA("Grand Total FTE - Old",'FTE Pivot for regular counts'!$A$2,"State","AL","Category2","Four-Year")</f>
        <v>130408.09166666667</v>
      </c>
      <c r="D226" s="15">
        <f>+GETPIVOTDATA("Grand Total FTE - Old",'FTE Pivot for regular counts'!$A$2,"State","AL","Category2","Two-Year")</f>
        <v>77119.266666666677</v>
      </c>
      <c r="F226" s="39">
        <f>+GETPIVOTDATA("Grand Total FTE - Old",'FTE Pivot for regular counts'!$A$2,"State","AL","Category2","Technical")</f>
        <v>4301.7333333333336</v>
      </c>
      <c r="G226" s="37"/>
      <c r="H226" s="122">
        <f t="shared" ref="H226:H241" si="0">+F226+D226+B226</f>
        <v>211829.09166666667</v>
      </c>
      <c r="I226" s="25"/>
    </row>
    <row r="227" spans="1:9" ht="15" customHeight="1">
      <c r="A227" s="4" t="s">
        <v>81</v>
      </c>
      <c r="B227" s="15">
        <f>+GETPIVOTDATA("Grand Total FTE - Old",'FTE Pivot for regular counts'!$A$2,"State","AR","Category2","Four-Year")</f>
        <v>77295.408333333355</v>
      </c>
      <c r="D227" s="15">
        <f>+GETPIVOTDATA("Grand Total FTE - Old",'FTE Pivot for regular counts'!$A$2,"State","AR","Category2","Two-Year")</f>
        <v>45088.899999999994</v>
      </c>
      <c r="F227" s="39">
        <f>+GETPIVOTDATA("Grand Total FTE - Old",'FTE Pivot for regular counts'!$A$2,"State","AR","Category2","Technical")</f>
        <v>0</v>
      </c>
      <c r="G227" s="37"/>
      <c r="H227" s="122">
        <f t="shared" si="0"/>
        <v>122384.30833333335</v>
      </c>
      <c r="I227" s="25"/>
    </row>
    <row r="228" spans="1:9" ht="15" customHeight="1">
      <c r="A228" s="1" t="s">
        <v>118</v>
      </c>
      <c r="B228" s="103">
        <f>+GETPIVOTDATA("Grand Total FTE - Old",'FTE Pivot for regular counts'!$A$2,"State","DE","Category2","Four-Year")</f>
        <v>23198.133333333335</v>
      </c>
      <c r="D228" s="15">
        <f>+GETPIVOTDATA("Grand Total FTE - Old",'FTE Pivot for regular counts'!$A$2,"State","DE","Category2","Two-Year")</f>
        <v>11449.966666666667</v>
      </c>
      <c r="F228" s="39">
        <f>+GETPIVOTDATA("Grand Total FTE - Old",'FTE Pivot for regular counts'!$A$2,"State","DE","Category2","Technical")</f>
        <v>0</v>
      </c>
      <c r="G228" s="37"/>
      <c r="H228" s="122">
        <f t="shared" si="0"/>
        <v>34648.100000000006</v>
      </c>
      <c r="I228" s="25"/>
    </row>
    <row r="229" spans="1:9" ht="15" customHeight="1">
      <c r="A229" s="1" t="s">
        <v>82</v>
      </c>
      <c r="B229" s="15">
        <f>+GETPIVOTDATA("Grand Total FTE - Old",'FTE Pivot for regular counts'!$A$2,"State","FL","Category2","Four-Year")</f>
        <v>284915.64166666666</v>
      </c>
      <c r="D229" s="15">
        <f>+GETPIVOTDATA("Grand Total FTE - Old",'FTE Pivot for regular counts'!$A$2,"State","FL","Category2","Two-Year")</f>
        <v>375870.89222222223</v>
      </c>
      <c r="F229" s="39">
        <f>+GETPIVOTDATA("Grand Total FTE - Old",'FTE Pivot for regular counts'!$A$2,"State","FL","Category2","Technical")</f>
        <v>0</v>
      </c>
      <c r="G229" s="37"/>
      <c r="H229" s="122">
        <f t="shared" si="0"/>
        <v>660786.53388888889</v>
      </c>
      <c r="I229" s="25"/>
    </row>
    <row r="230" spans="1:9" ht="15" customHeight="1">
      <c r="A230" s="1" t="s">
        <v>83</v>
      </c>
      <c r="B230" s="15">
        <f>+GETPIVOTDATA("Grand Total FTE - Old",'FTE Pivot for regular counts'!$A$2,"State","GA","Category2","Four-Year")</f>
        <v>211017.74416666664</v>
      </c>
      <c r="D230" s="15">
        <f>+GETPIVOTDATA("Grand Total FTE - Old",'FTE Pivot for regular counts'!$A$2,"State","GA","Category2","Two-Year")</f>
        <v>63886.666666666664</v>
      </c>
      <c r="F230" s="39">
        <f>+GETPIVOTDATA("Grand Total FTE - Old",'FTE Pivot for regular counts'!$A$2,"State","GA","Category2","Technical")</f>
        <v>103051.67899299996</v>
      </c>
      <c r="G230" s="37"/>
      <c r="H230" s="122">
        <f t="shared" si="0"/>
        <v>377956.08982633328</v>
      </c>
      <c r="I230" s="25"/>
    </row>
    <row r="231" spans="1:9" ht="15" customHeight="1">
      <c r="A231" s="1" t="s">
        <v>84</v>
      </c>
      <c r="B231" s="15">
        <f>+GETPIVOTDATA("Grand Total FTE - Old",'FTE Pivot for regular counts'!$A$2,"State","KY","Category2","Four-Year")</f>
        <v>100647.37916666668</v>
      </c>
      <c r="D231" s="15">
        <f>+GETPIVOTDATA("Grand Total FTE - Old",'FTE Pivot for regular counts'!$A$2,"State","KY","Category2","Two-Year")</f>
        <v>56044.13</v>
      </c>
      <c r="F231" s="39">
        <f>+GETPIVOTDATA("Grand Total FTE - Old",'FTE Pivot for regular counts'!$A$2,"State","KY","Category2","Technical")</f>
        <v>4584.5</v>
      </c>
      <c r="G231" s="37"/>
      <c r="H231" s="122">
        <f t="shared" si="0"/>
        <v>161276.00916666668</v>
      </c>
      <c r="I231" s="25"/>
    </row>
    <row r="232" spans="1:9" ht="15" customHeight="1">
      <c r="A232" s="1" t="s">
        <v>85</v>
      </c>
      <c r="B232" s="15">
        <f>+GETPIVOTDATA("Grand Total FTE - Old",'FTE Pivot for regular counts'!$A$2,"State","LA","Category2","Four-Year")</f>
        <v>123142.92777777776</v>
      </c>
      <c r="D232" s="15">
        <f>+GETPIVOTDATA("Grand Total FTE - Old",'FTE Pivot for regular counts'!$A$2,"State","LA","Category2","Two-Year")</f>
        <v>36326</v>
      </c>
      <c r="F232" s="39">
        <f>+GETPIVOTDATA("Grand Total FTE - Old",'FTE Pivot for regular counts'!$A$2,"State","LA","Category2","Technical")</f>
        <v>19830.866666666669</v>
      </c>
      <c r="G232" s="37"/>
      <c r="H232" s="122">
        <f t="shared" si="0"/>
        <v>179299.79444444441</v>
      </c>
      <c r="I232" s="25"/>
    </row>
    <row r="233" spans="1:9" ht="15" customHeight="1">
      <c r="A233" s="1" t="s">
        <v>86</v>
      </c>
      <c r="B233" s="15">
        <f>+GETPIVOTDATA("Grand Total FTE - Old",'FTE Pivot for regular counts'!$A$2,"State","MD","Category2","Four-Year")</f>
        <v>102766.24999999999</v>
      </c>
      <c r="D233" s="15">
        <f>+GETPIVOTDATA("Grand Total FTE - Old",'FTE Pivot for regular counts'!$A$2,"State","MD","Category2","Two-Year")</f>
        <v>98596.618333333332</v>
      </c>
      <c r="F233" s="39">
        <f>+GETPIVOTDATA("Grand Total FTE - Old",'FTE Pivot for regular counts'!$A$2,"State","MD","Category2","Technical")</f>
        <v>0</v>
      </c>
      <c r="G233" s="37"/>
      <c r="H233" s="122">
        <f t="shared" si="0"/>
        <v>201362.86833333332</v>
      </c>
      <c r="I233" s="25"/>
    </row>
    <row r="234" spans="1:9" ht="12" customHeight="1">
      <c r="A234" s="1" t="s">
        <v>87</v>
      </c>
      <c r="B234" s="15">
        <f>+GETPIVOTDATA("Grand Total FTE - Old",'FTE Pivot for regular counts'!$A$2,"State","MS","Category2","Four-Year")</f>
        <v>64934.89166666667</v>
      </c>
      <c r="D234" s="15">
        <f>+GETPIVOTDATA("Grand Total FTE - Old",'FTE Pivot for regular counts'!$A$2,"State","MS","Category2","Two-Year")</f>
        <v>73910.8</v>
      </c>
      <c r="F234" s="39">
        <f>+GETPIVOTDATA("Grand Total FTE - Old",'FTE Pivot for regular counts'!$A$2,"State","MS","Category2","Technical")</f>
        <v>0</v>
      </c>
      <c r="G234" s="37"/>
      <c r="H234" s="122">
        <f t="shared" si="0"/>
        <v>138845.69166666668</v>
      </c>
      <c r="I234" s="25"/>
    </row>
    <row r="235" spans="1:9" ht="15" customHeight="1">
      <c r="A235" s="1" t="s">
        <v>88</v>
      </c>
      <c r="B235" s="15">
        <f>+GETPIVOTDATA("Grand Total FTE - Old",'FTE Pivot for regular counts'!$A$2,"State","NC","Category2","Four-Year")</f>
        <v>197882.48333333331</v>
      </c>
      <c r="D235" s="15">
        <f>+GETPIVOTDATA("Grand Total FTE - Old",'FTE Pivot for regular counts'!$A$2,"State","NC","Category2","Two-Year")</f>
        <v>181324.93333333332</v>
      </c>
      <c r="F235" s="39">
        <f>+GETPIVOTDATA("Grand Total FTE - Old",'FTE Pivot for regular counts'!$A$2,"State","NC","Category2","Technical")</f>
        <v>0</v>
      </c>
      <c r="G235" s="37"/>
      <c r="H235" s="122">
        <f t="shared" si="0"/>
        <v>379207.41666666663</v>
      </c>
      <c r="I235" s="25"/>
    </row>
    <row r="236" spans="1:9" ht="15" customHeight="1">
      <c r="A236" s="1" t="s">
        <v>89</v>
      </c>
      <c r="B236" s="15">
        <f>+GETPIVOTDATA("Grand Total FTE - Old",'FTE Pivot for regular counts'!$A$2,"State","OK","Category2","Four-Year")</f>
        <v>91117.425000000003</v>
      </c>
      <c r="D236" s="15">
        <f>+GETPIVOTDATA("Grand Total FTE - Old",'FTE Pivot for regular counts'!$A$2,"State","OK","Category2","Two-Year")</f>
        <v>56022.866666666669</v>
      </c>
      <c r="F236" s="39">
        <f>+GETPIVOTDATA("Grand Total FTE - Old",'FTE Pivot for regular counts'!$A$2,"State","OK","Category2","Technical")</f>
        <v>21645.267211111117</v>
      </c>
      <c r="G236" s="37"/>
      <c r="H236" s="122">
        <f t="shared" si="0"/>
        <v>168785.55887777777</v>
      </c>
      <c r="I236" s="25"/>
    </row>
    <row r="237" spans="1:9" ht="15" customHeight="1">
      <c r="A237" s="1" t="s">
        <v>90</v>
      </c>
      <c r="B237" s="15">
        <f>+GETPIVOTDATA("Grand Total FTE - Old",'FTE Pivot for regular counts'!$A$2,"State","SC","Category2","Four-Year")</f>
        <v>92558.333333333328</v>
      </c>
      <c r="D237" s="15">
        <f>+GETPIVOTDATA("Grand Total FTE - Old",'FTE Pivot for regular counts'!$A$2,"State","SC","Category2","Two-Year")</f>
        <v>85133.633333333346</v>
      </c>
      <c r="F237" s="39">
        <f>+GETPIVOTDATA("Grand Total FTE - Old",'FTE Pivot for regular counts'!$A$2,"State","SC","Category2","Technical")</f>
        <v>0</v>
      </c>
      <c r="G237" s="37"/>
      <c r="H237" s="122">
        <f t="shared" si="0"/>
        <v>177691.96666666667</v>
      </c>
      <c r="I237" s="25"/>
    </row>
    <row r="238" spans="1:9" ht="15" customHeight="1">
      <c r="A238" s="1" t="s">
        <v>91</v>
      </c>
      <c r="B238" s="15">
        <f>+GETPIVOTDATA("Grand Total FTE - Old",'FTE Pivot for regular counts'!$A$2,"State","TN","Category2","Four-Year")</f>
        <v>121178.41666666666</v>
      </c>
      <c r="D238" s="15">
        <f>+GETPIVOTDATA("Grand Total FTE - Old",'FTE Pivot for regular counts'!$A$2,"State","TN","Category2","Two-Year")</f>
        <v>66922.633333333331</v>
      </c>
      <c r="F238" s="39">
        <f>+GETPIVOTDATA("Grand Total FTE - Old",'FTE Pivot for regular counts'!$A$2,"State","TN","Category2","Technical")</f>
        <v>13277.441111111108</v>
      </c>
      <c r="G238" s="37"/>
      <c r="H238" s="122">
        <f t="shared" si="0"/>
        <v>201378.4911111111</v>
      </c>
      <c r="I238" s="25"/>
    </row>
    <row r="239" spans="1:9" ht="15" customHeight="1">
      <c r="A239" s="1" t="s">
        <v>92</v>
      </c>
      <c r="B239" s="15">
        <f>+GETPIVOTDATA("Grand Total FTE - Old",'FTE Pivot for regular counts'!$A$2,"State","TX","Category2","Four-Year")</f>
        <v>450491.65000000008</v>
      </c>
      <c r="D239" s="15">
        <f>+GETPIVOTDATA("Grand Total FTE - Old",'FTE Pivot for regular counts'!$A$2,"State","TX","Category2","Two-Year")</f>
        <v>514040.04999999993</v>
      </c>
      <c r="F239" s="39">
        <f>+GETPIVOTDATA("Grand Total FTE - Old",'FTE Pivot for regular counts'!$A$2,"State","TX","Category2","Technical")</f>
        <v>0</v>
      </c>
      <c r="G239" s="37"/>
      <c r="H239" s="122">
        <f t="shared" si="0"/>
        <v>964531.7</v>
      </c>
      <c r="I239" s="25"/>
    </row>
    <row r="240" spans="1:9" ht="15" customHeight="1">
      <c r="A240" s="1" t="s">
        <v>93</v>
      </c>
      <c r="B240" s="15">
        <f>+GETPIVOTDATA("Grand Total FTE - Old",'FTE Pivot for regular counts'!$A$2,"State","VA","Category2","Four-Year")</f>
        <v>189489.67666666664</v>
      </c>
      <c r="D240" s="15">
        <f>+GETPIVOTDATA("Grand Total FTE - Old",'FTE Pivot for regular counts'!$A$2,"State","VA","Category2","Two-Year")</f>
        <v>126120.20000000001</v>
      </c>
      <c r="F240" s="39">
        <f>+GETPIVOTDATA("Grand Total FTE - Old",'FTE Pivot for regular counts'!$A$2,"State","VA","Category2","Technical")</f>
        <v>0</v>
      </c>
      <c r="G240" s="37"/>
      <c r="H240" s="122">
        <f t="shared" si="0"/>
        <v>315609.87666666665</v>
      </c>
      <c r="I240" s="25"/>
    </row>
    <row r="241" spans="1:13" ht="15" customHeight="1">
      <c r="A241" s="3" t="s">
        <v>94</v>
      </c>
      <c r="B241" s="6">
        <f>+GETPIVOTDATA("Grand Total FTE - Old",'FTE Pivot for regular counts'!$A$2,"State","WV","Category2","Four-Year")</f>
        <v>58089.93</v>
      </c>
      <c r="C241" s="3"/>
      <c r="D241" s="6">
        <f>+GETPIVOTDATA("Grand Total FTE - Old",'FTE Pivot for regular counts'!$A$2,"State","WV","Category2","Two-Year")</f>
        <v>19504.116666666669</v>
      </c>
      <c r="E241" s="3"/>
      <c r="F241" s="40">
        <f>+GETPIVOTDATA("Grand Total FTE - Old",'FTE Pivot for regular counts'!$A$2,"State","WV","Category2","Technical")</f>
        <v>0</v>
      </c>
      <c r="G241" s="38"/>
      <c r="H241" s="122">
        <f t="shared" si="0"/>
        <v>77594.046666666662</v>
      </c>
      <c r="I241" s="25"/>
    </row>
    <row r="242" spans="1:13" s="25" customFormat="1" ht="20.25" customHeight="1">
      <c r="A242" s="76"/>
      <c r="B242" s="16"/>
      <c r="C242" s="16"/>
      <c r="D242" s="16"/>
      <c r="E242" s="16"/>
      <c r="F242" s="16"/>
      <c r="G242" s="16"/>
      <c r="H242" s="109"/>
      <c r="I242" s="15"/>
      <c r="J242" s="103"/>
      <c r="K242" s="103"/>
      <c r="L242" s="103"/>
      <c r="M242" s="103"/>
    </row>
    <row r="243" spans="1:13" ht="71.25" customHeight="1">
      <c r="A243" s="820" t="s">
        <v>1009</v>
      </c>
      <c r="B243" s="821"/>
      <c r="C243" s="821"/>
      <c r="D243" s="821"/>
      <c r="E243" s="821"/>
      <c r="F243" s="821"/>
      <c r="G243" s="821"/>
      <c r="H243" s="821"/>
      <c r="I243" s="25"/>
    </row>
    <row r="244" spans="1:13">
      <c r="H244" s="169"/>
    </row>
    <row r="259" spans="14:15">
      <c r="N259" s="25"/>
      <c r="O259" s="25"/>
    </row>
    <row r="260" spans="14:15">
      <c r="N260" s="25"/>
      <c r="O260" s="25"/>
    </row>
    <row r="261" spans="14:15">
      <c r="N261" s="25"/>
      <c r="O261" s="25"/>
    </row>
    <row r="262" spans="14:15">
      <c r="N262" s="25"/>
      <c r="O262" s="25"/>
    </row>
    <row r="263" spans="14:15">
      <c r="N263" s="25"/>
      <c r="O263" s="25"/>
    </row>
    <row r="264" spans="14:15">
      <c r="N264" s="25"/>
      <c r="O264" s="25"/>
    </row>
    <row r="265" spans="14:15">
      <c r="N265" s="25"/>
      <c r="O265" s="25"/>
    </row>
    <row r="266" spans="14:15">
      <c r="N266" s="25"/>
      <c r="O266" s="25"/>
    </row>
    <row r="267" spans="14:15">
      <c r="N267" s="25"/>
      <c r="O267" s="25"/>
    </row>
  </sheetData>
  <mergeCells count="15">
    <mergeCell ref="A96:J96"/>
    <mergeCell ref="B6:G6"/>
    <mergeCell ref="A30:O30"/>
    <mergeCell ref="A61:H61"/>
    <mergeCell ref="A92:H92"/>
    <mergeCell ref="A94:J94"/>
    <mergeCell ref="A184:K184"/>
    <mergeCell ref="A243:H243"/>
    <mergeCell ref="A97:J97"/>
    <mergeCell ref="A123:J123"/>
    <mergeCell ref="A125:J125"/>
    <mergeCell ref="A127:J127"/>
    <mergeCell ref="A128:J128"/>
    <mergeCell ref="A154:J154"/>
    <mergeCell ref="A215:G215"/>
  </mergeCells>
  <printOptions horizontalCentered="1"/>
  <pageMargins left="0.5" right="0.44" top="1" bottom="0.85" header="0.75" footer="0.5"/>
  <pageSetup scale="96" firstPageNumber="80" fitToHeight="7" orientation="landscape" useFirstPageNumber="1" r:id="rId1"/>
  <headerFooter alignWithMargins="0">
    <oddHeader>&amp;RSREB-State Data Exchange</oddHeader>
    <oddFooter>&amp;CC-&amp;P</oddFooter>
  </headerFooter>
  <rowBreaks count="6" manualBreakCount="6">
    <brk id="31" max="14" man="1"/>
    <brk id="62" max="14" man="1"/>
    <brk id="93" max="14" man="1"/>
    <brk id="124" max="14" man="1"/>
    <brk id="155" max="14" man="1"/>
    <brk id="185" max="1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7"/>
  </sheetPr>
  <dimension ref="A1:AL220"/>
  <sheetViews>
    <sheetView zoomScale="90" zoomScaleNormal="90" workbookViewId="0">
      <pane xSplit="2" ySplit="4" topLeftCell="C5" activePane="bottomRight" state="frozen"/>
      <selection pane="topRight" activeCell="C1" sqref="C1"/>
      <selection pane="bottomLeft" activeCell="A5" sqref="A5"/>
      <selection pane="bottomRight" activeCell="E52" sqref="E52"/>
    </sheetView>
  </sheetViews>
  <sheetFormatPr defaultRowHeight="12.75"/>
  <cols>
    <col min="1" max="1" width="7.5" style="658" customWidth="1"/>
    <col min="2" max="2" width="44.1640625" style="214" customWidth="1"/>
    <col min="3" max="8" width="15" style="214" customWidth="1"/>
    <col min="9" max="9" width="16.83203125" style="214" customWidth="1"/>
    <col min="10" max="13" width="13.6640625" style="214" customWidth="1"/>
    <col min="14" max="14" width="16.33203125" style="214" customWidth="1"/>
    <col min="15" max="16" width="13.83203125" style="214" customWidth="1"/>
    <col min="17" max="17" width="11" style="214" customWidth="1"/>
    <col min="18" max="18" width="10.6640625" style="214" customWidth="1"/>
    <col min="19" max="19" width="11.33203125" style="214" customWidth="1"/>
    <col min="20" max="20" width="10" style="214" customWidth="1"/>
    <col min="21" max="21" width="11.33203125" style="214" customWidth="1"/>
    <col min="22" max="22" width="9.83203125" style="214" customWidth="1"/>
    <col min="23" max="23" width="11.33203125" style="214" customWidth="1"/>
    <col min="24" max="24" width="10.1640625" style="214" customWidth="1"/>
    <col min="25" max="25" width="11.33203125" style="214" customWidth="1"/>
    <col min="26" max="26" width="9.6640625" style="214" customWidth="1"/>
    <col min="27" max="27" width="10.1640625" style="214" customWidth="1"/>
    <col min="28" max="31" width="2.1640625" style="214" customWidth="1"/>
    <col min="32" max="32" width="23.5" style="214" customWidth="1"/>
    <col min="33" max="33" width="12.6640625" style="214" customWidth="1"/>
    <col min="34" max="34" width="16" style="214" customWidth="1"/>
    <col min="35" max="35" width="16.5" style="214" customWidth="1"/>
    <col min="36" max="36" width="14.6640625" style="214" customWidth="1"/>
    <col min="37" max="37" width="14" style="214" customWidth="1"/>
    <col min="38" max="16384" width="9.33203125" style="214"/>
  </cols>
  <sheetData>
    <row r="1" spans="1:31" s="73" customFormat="1">
      <c r="A1" s="84"/>
      <c r="B1" s="83"/>
      <c r="C1" s="4"/>
      <c r="D1" s="4"/>
      <c r="E1" s="4" t="s">
        <v>39</v>
      </c>
      <c r="F1" s="4"/>
      <c r="G1" s="4"/>
      <c r="H1" s="4"/>
      <c r="I1" s="4"/>
      <c r="J1" s="4"/>
      <c r="K1" s="4"/>
      <c r="L1" s="4"/>
      <c r="M1" s="82"/>
      <c r="N1" s="4"/>
      <c r="T1" s="251" t="s">
        <v>48</v>
      </c>
      <c r="U1" s="251"/>
      <c r="V1" s="251"/>
      <c r="W1" s="251"/>
      <c r="X1" s="251"/>
      <c r="Y1" s="251"/>
      <c r="Z1" s="251"/>
      <c r="AA1" s="251"/>
    </row>
    <row r="2" spans="1:31">
      <c r="A2" s="631"/>
      <c r="B2" s="632"/>
      <c r="C2" s="633" t="s">
        <v>53</v>
      </c>
      <c r="D2" s="634" t="s">
        <v>120</v>
      </c>
      <c r="E2" s="634"/>
      <c r="F2" s="634"/>
      <c r="G2" s="634"/>
      <c r="H2" s="634"/>
      <c r="I2" s="634"/>
      <c r="J2" s="639"/>
      <c r="K2" s="634"/>
      <c r="L2" s="634"/>
      <c r="M2" s="635"/>
      <c r="N2" s="637"/>
      <c r="O2" s="639"/>
      <c r="P2" s="634"/>
      <c r="Q2" s="634"/>
      <c r="R2" s="634"/>
      <c r="S2" s="634"/>
      <c r="T2" s="646"/>
      <c r="U2" s="646"/>
      <c r="V2" s="646"/>
      <c r="W2" s="646"/>
      <c r="X2" s="646"/>
      <c r="Y2" s="646"/>
      <c r="Z2" s="646"/>
      <c r="AA2" s="648"/>
      <c r="AB2" s="765"/>
      <c r="AC2" s="765"/>
      <c r="AD2" s="765"/>
      <c r="AE2" s="630"/>
    </row>
    <row r="3" spans="1:31" s="73" customFormat="1">
      <c r="A3" s="631"/>
      <c r="B3" s="632"/>
      <c r="C3" s="633" t="s">
        <v>77</v>
      </c>
      <c r="D3" s="634"/>
      <c r="E3" s="634"/>
      <c r="F3" s="634"/>
      <c r="G3" s="634"/>
      <c r="H3" s="634"/>
      <c r="I3" s="644" t="s">
        <v>25</v>
      </c>
      <c r="J3" s="633" t="s">
        <v>95</v>
      </c>
      <c r="K3" s="634"/>
      <c r="L3" s="634"/>
      <c r="M3" s="634"/>
      <c r="N3" s="644" t="s">
        <v>26</v>
      </c>
      <c r="O3" s="633" t="s">
        <v>1010</v>
      </c>
      <c r="P3" s="634" t="s">
        <v>1012</v>
      </c>
      <c r="Q3" s="644" t="s">
        <v>34</v>
      </c>
      <c r="R3" s="633"/>
      <c r="S3" s="633" t="s">
        <v>27</v>
      </c>
      <c r="T3" s="645" t="s">
        <v>218</v>
      </c>
      <c r="U3" s="645" t="s">
        <v>220</v>
      </c>
      <c r="V3" s="645" t="s">
        <v>219</v>
      </c>
      <c r="W3" s="645" t="s">
        <v>221</v>
      </c>
      <c r="X3" s="645" t="s">
        <v>167</v>
      </c>
      <c r="Y3" s="645" t="s">
        <v>18</v>
      </c>
      <c r="Z3" s="645" t="s">
        <v>252</v>
      </c>
      <c r="AA3" s="649" t="s">
        <v>254</v>
      </c>
      <c r="AB3" s="765"/>
      <c r="AC3" s="765"/>
      <c r="AD3" s="765"/>
      <c r="AE3" s="630"/>
    </row>
    <row r="4" spans="1:31">
      <c r="A4" s="631" t="s">
        <v>121</v>
      </c>
      <c r="B4" s="636" t="s">
        <v>69</v>
      </c>
      <c r="C4" s="640">
        <v>1</v>
      </c>
      <c r="D4" s="641">
        <v>2</v>
      </c>
      <c r="E4" s="641">
        <v>3</v>
      </c>
      <c r="F4" s="641">
        <v>4</v>
      </c>
      <c r="G4" s="641">
        <v>5</v>
      </c>
      <c r="H4" s="641">
        <v>6</v>
      </c>
      <c r="I4" s="252"/>
      <c r="J4" s="642" t="s">
        <v>72</v>
      </c>
      <c r="K4" s="643" t="s">
        <v>73</v>
      </c>
      <c r="L4" s="643" t="s">
        <v>74</v>
      </c>
      <c r="M4" s="643" t="s">
        <v>75</v>
      </c>
      <c r="N4" s="252"/>
      <c r="O4" s="642" t="s">
        <v>1010</v>
      </c>
      <c r="P4" s="643"/>
      <c r="Q4" s="252" t="s">
        <v>35</v>
      </c>
      <c r="R4" s="633" t="s">
        <v>36</v>
      </c>
      <c r="S4" s="764"/>
      <c r="T4" s="645" t="s">
        <v>218</v>
      </c>
      <c r="U4" s="254"/>
      <c r="V4" s="647" t="s">
        <v>219</v>
      </c>
      <c r="W4" s="253"/>
      <c r="X4" s="647" t="s">
        <v>167</v>
      </c>
      <c r="Y4" s="253"/>
      <c r="Z4" s="645" t="s">
        <v>252</v>
      </c>
      <c r="AA4" s="255"/>
      <c r="AB4" s="765"/>
      <c r="AC4" s="765"/>
      <c r="AD4" s="765"/>
      <c r="AE4" s="630"/>
    </row>
    <row r="5" spans="1:31">
      <c r="A5" s="638" t="s">
        <v>28</v>
      </c>
      <c r="B5" s="636" t="s">
        <v>102</v>
      </c>
      <c r="C5" s="633">
        <v>51565.366666666669</v>
      </c>
      <c r="D5" s="637">
        <v>5368.7</v>
      </c>
      <c r="E5" s="637">
        <v>32065.633333333331</v>
      </c>
      <c r="F5" s="637">
        <v>14667.866666666667</v>
      </c>
      <c r="G5" s="637">
        <v>4144.2333333333336</v>
      </c>
      <c r="H5" s="637">
        <v>2973</v>
      </c>
      <c r="I5" s="633">
        <v>110784.8</v>
      </c>
      <c r="J5" s="633"/>
      <c r="K5" s="637">
        <v>27220.566666666669</v>
      </c>
      <c r="L5" s="637">
        <v>40140.033333333333</v>
      </c>
      <c r="M5" s="637">
        <v>9758.6666666666661</v>
      </c>
      <c r="N5" s="633">
        <v>77119.266666666677</v>
      </c>
      <c r="O5" s="633"/>
      <c r="P5" s="637"/>
      <c r="Q5" s="633">
        <v>1657.2333333333333</v>
      </c>
      <c r="R5" s="633">
        <v>2644.5</v>
      </c>
      <c r="S5" s="633">
        <v>4301.7333333333336</v>
      </c>
      <c r="T5" s="645"/>
      <c r="U5" s="645"/>
      <c r="V5" s="645"/>
      <c r="W5" s="645"/>
      <c r="X5" s="645"/>
      <c r="Y5" s="645"/>
      <c r="Z5" s="645"/>
      <c r="AA5" s="653"/>
      <c r="AB5" s="765"/>
      <c r="AC5" s="765"/>
      <c r="AD5" s="765"/>
      <c r="AE5" s="630"/>
    </row>
    <row r="6" spans="1:31">
      <c r="A6" s="244"/>
      <c r="B6" s="245" t="s">
        <v>100</v>
      </c>
      <c r="C6" s="246">
        <v>52954.73333333333</v>
      </c>
      <c r="D6" s="247">
        <v>5179.3999999999996</v>
      </c>
      <c r="E6" s="247">
        <v>33670.666666666664</v>
      </c>
      <c r="F6" s="247">
        <v>14408.033333333333</v>
      </c>
      <c r="G6" s="247">
        <v>4158.5333333333338</v>
      </c>
      <c r="H6" s="247">
        <v>2856.7333333333331</v>
      </c>
      <c r="I6" s="246">
        <v>113228.09999999999</v>
      </c>
      <c r="J6" s="246"/>
      <c r="K6" s="247">
        <v>26710.799999999999</v>
      </c>
      <c r="L6" s="247">
        <v>38344.900000000009</v>
      </c>
      <c r="M6" s="247">
        <v>9439</v>
      </c>
      <c r="N6" s="246">
        <v>74494.700000000012</v>
      </c>
      <c r="O6" s="246"/>
      <c r="P6" s="247"/>
      <c r="Q6" s="246">
        <v>1650.0666666666666</v>
      </c>
      <c r="R6" s="246">
        <v>2468.5</v>
      </c>
      <c r="S6" s="246">
        <v>4118.5666666666666</v>
      </c>
      <c r="T6" s="326"/>
      <c r="U6" s="326"/>
      <c r="V6" s="326"/>
      <c r="W6" s="326"/>
      <c r="X6" s="326"/>
      <c r="Y6" s="326"/>
      <c r="Z6" s="326"/>
      <c r="AA6" s="654"/>
      <c r="AB6" s="765"/>
      <c r="AC6" s="765"/>
      <c r="AD6" s="765"/>
      <c r="AE6" s="630"/>
    </row>
    <row r="7" spans="1:31" s="73" customFormat="1">
      <c r="A7" s="244"/>
      <c r="B7" s="248" t="s">
        <v>114</v>
      </c>
      <c r="C7" s="256">
        <v>2.694379496315669E-2</v>
      </c>
      <c r="D7" s="663">
        <v>-3.5259932572131093E-2</v>
      </c>
      <c r="E7" s="257">
        <v>5.0054627539972689E-2</v>
      </c>
      <c r="F7" s="663">
        <v>-1.7714459726022459E-2</v>
      </c>
      <c r="G7" s="257">
        <v>3.4505779114754271E-3</v>
      </c>
      <c r="H7" s="663">
        <v>-3.9107523264940089E-2</v>
      </c>
      <c r="I7" s="256">
        <v>2.2054469566222108E-2</v>
      </c>
      <c r="J7" s="256">
        <v>0</v>
      </c>
      <c r="K7" s="663">
        <v>-1.8727261372222352E-2</v>
      </c>
      <c r="L7" s="663">
        <v>-4.4721769870644287E-2</v>
      </c>
      <c r="M7" s="663">
        <v>-3.2757207268752503E-2</v>
      </c>
      <c r="N7" s="256">
        <v>-3.4032567737071986E-2</v>
      </c>
      <c r="O7" s="664">
        <v>0</v>
      </c>
      <c r="P7" s="663">
        <v>0</v>
      </c>
      <c r="Q7" s="256">
        <v>-4.3244765372006007E-3</v>
      </c>
      <c r="R7" s="256">
        <v>-6.6553223671771605E-2</v>
      </c>
      <c r="S7" s="256">
        <v>-4.2579735300499091E-2</v>
      </c>
      <c r="T7" s="327">
        <v>0</v>
      </c>
      <c r="U7" s="327">
        <v>0</v>
      </c>
      <c r="V7" s="327">
        <v>0</v>
      </c>
      <c r="W7" s="327">
        <v>0</v>
      </c>
      <c r="X7" s="327">
        <v>0</v>
      </c>
      <c r="Y7" s="327">
        <v>0</v>
      </c>
      <c r="Z7" s="327">
        <v>0</v>
      </c>
      <c r="AA7" s="655">
        <v>0</v>
      </c>
      <c r="AB7" s="766"/>
      <c r="AC7" s="766"/>
      <c r="AD7" s="766"/>
      <c r="AE7" s="630"/>
    </row>
    <row r="8" spans="1:31" s="73" customFormat="1">
      <c r="A8" s="244"/>
      <c r="B8" s="245" t="s">
        <v>98</v>
      </c>
      <c r="C8" s="246">
        <v>0</v>
      </c>
      <c r="D8" s="247">
        <v>0</v>
      </c>
      <c r="E8" s="247">
        <v>0</v>
      </c>
      <c r="F8" s="247">
        <v>0</v>
      </c>
      <c r="G8" s="247">
        <v>0</v>
      </c>
      <c r="H8" s="247">
        <v>0</v>
      </c>
      <c r="I8" s="246">
        <v>0</v>
      </c>
      <c r="J8" s="246"/>
      <c r="K8" s="247">
        <v>0</v>
      </c>
      <c r="L8" s="247">
        <v>0</v>
      </c>
      <c r="M8" s="247">
        <v>0</v>
      </c>
      <c r="N8" s="246">
        <v>0</v>
      </c>
      <c r="O8" s="328"/>
      <c r="P8" s="247"/>
      <c r="Q8" s="246">
        <v>0</v>
      </c>
      <c r="R8" s="246">
        <v>0</v>
      </c>
      <c r="S8" s="246">
        <v>0</v>
      </c>
      <c r="T8" s="326"/>
      <c r="U8" s="326"/>
      <c r="V8" s="326"/>
      <c r="W8" s="326"/>
      <c r="X8" s="326"/>
      <c r="Y8" s="326"/>
      <c r="Z8" s="326"/>
      <c r="AA8" s="656"/>
      <c r="AB8" s="765"/>
      <c r="AC8" s="765"/>
      <c r="AD8" s="765"/>
      <c r="AE8" s="630"/>
    </row>
    <row r="9" spans="1:31" s="73" customFormat="1">
      <c r="A9" s="244"/>
      <c r="B9" s="245" t="s">
        <v>96</v>
      </c>
      <c r="C9" s="246">
        <v>0</v>
      </c>
      <c r="D9" s="247">
        <v>0</v>
      </c>
      <c r="E9" s="247">
        <v>0</v>
      </c>
      <c r="F9" s="247">
        <v>0</v>
      </c>
      <c r="G9" s="247">
        <v>0</v>
      </c>
      <c r="H9" s="247">
        <v>0</v>
      </c>
      <c r="I9" s="246">
        <v>0</v>
      </c>
      <c r="J9" s="246"/>
      <c r="K9" s="247">
        <v>0</v>
      </c>
      <c r="L9" s="247">
        <v>0</v>
      </c>
      <c r="M9" s="247">
        <v>0</v>
      </c>
      <c r="N9" s="246">
        <v>0</v>
      </c>
      <c r="O9" s="328"/>
      <c r="P9" s="247"/>
      <c r="Q9" s="246">
        <v>0</v>
      </c>
      <c r="R9" s="246">
        <v>0</v>
      </c>
      <c r="S9" s="246">
        <v>0</v>
      </c>
      <c r="T9" s="326"/>
      <c r="U9" s="326"/>
      <c r="V9" s="326"/>
      <c r="W9" s="326"/>
      <c r="X9" s="326"/>
      <c r="Y9" s="326"/>
      <c r="Z9" s="326"/>
      <c r="AA9" s="656"/>
      <c r="AB9" s="765"/>
      <c r="AC9" s="765"/>
      <c r="AD9" s="765"/>
      <c r="AE9" s="630"/>
    </row>
    <row r="10" spans="1:31" s="73" customFormat="1">
      <c r="A10" s="244"/>
      <c r="B10" s="248" t="s">
        <v>116</v>
      </c>
      <c r="C10" s="256">
        <v>0</v>
      </c>
      <c r="D10" s="257">
        <v>0</v>
      </c>
      <c r="E10" s="257">
        <v>0</v>
      </c>
      <c r="F10" s="257">
        <v>0</v>
      </c>
      <c r="G10" s="257">
        <v>0</v>
      </c>
      <c r="H10" s="257">
        <v>0</v>
      </c>
      <c r="I10" s="256">
        <v>0</v>
      </c>
      <c r="J10" s="256">
        <v>0</v>
      </c>
      <c r="K10" s="257">
        <v>0</v>
      </c>
      <c r="L10" s="257">
        <v>0</v>
      </c>
      <c r="M10" s="257">
        <v>0</v>
      </c>
      <c r="N10" s="256">
        <v>0</v>
      </c>
      <c r="O10" s="652">
        <v>0</v>
      </c>
      <c r="P10" s="257">
        <v>0</v>
      </c>
      <c r="Q10" s="256">
        <v>0</v>
      </c>
      <c r="R10" s="256">
        <v>0</v>
      </c>
      <c r="S10" s="256">
        <v>0</v>
      </c>
      <c r="T10" s="327">
        <v>0</v>
      </c>
      <c r="U10" s="327">
        <v>0</v>
      </c>
      <c r="V10" s="327">
        <v>0</v>
      </c>
      <c r="W10" s="327">
        <v>0</v>
      </c>
      <c r="X10" s="327">
        <v>0</v>
      </c>
      <c r="Y10" s="327">
        <v>0</v>
      </c>
      <c r="Z10" s="327">
        <v>0</v>
      </c>
      <c r="AA10" s="655">
        <v>0</v>
      </c>
      <c r="AB10" s="766"/>
      <c r="AC10" s="766"/>
      <c r="AD10" s="766"/>
      <c r="AE10" s="630"/>
    </row>
    <row r="11" spans="1:31" s="73" customFormat="1">
      <c r="A11" s="244"/>
      <c r="B11" s="245" t="s">
        <v>104</v>
      </c>
      <c r="C11" s="246">
        <v>9809.0416666666661</v>
      </c>
      <c r="D11" s="247">
        <v>914.66666666666663</v>
      </c>
      <c r="E11" s="247">
        <v>4421.041666666667</v>
      </c>
      <c r="F11" s="247">
        <v>2029.375</v>
      </c>
      <c r="G11" s="247">
        <v>2449.1666666666665</v>
      </c>
      <c r="H11" s="247">
        <v>0</v>
      </c>
      <c r="I11" s="246">
        <v>19623.291666666668</v>
      </c>
      <c r="J11" s="246"/>
      <c r="K11" s="247">
        <v>0</v>
      </c>
      <c r="L11" s="247">
        <v>0</v>
      </c>
      <c r="M11" s="247">
        <v>0</v>
      </c>
      <c r="N11" s="246">
        <v>0</v>
      </c>
      <c r="O11" s="328"/>
      <c r="P11" s="247"/>
      <c r="Q11" s="246">
        <v>0</v>
      </c>
      <c r="R11" s="246">
        <v>0</v>
      </c>
      <c r="S11" s="246">
        <v>0</v>
      </c>
      <c r="T11" s="326"/>
      <c r="U11" s="326"/>
      <c r="V11" s="326"/>
      <c r="W11" s="326"/>
      <c r="X11" s="326"/>
      <c r="Y11" s="326"/>
      <c r="Z11" s="326"/>
      <c r="AA11" s="656"/>
      <c r="AB11" s="765"/>
      <c r="AC11" s="765"/>
      <c r="AD11" s="765"/>
      <c r="AE11" s="630"/>
    </row>
    <row r="12" spans="1:31" s="73" customFormat="1">
      <c r="A12" s="244"/>
      <c r="B12" s="245" t="s">
        <v>106</v>
      </c>
      <c r="C12" s="246">
        <v>10025.916666666668</v>
      </c>
      <c r="D12" s="247">
        <v>965.66666666666663</v>
      </c>
      <c r="E12" s="247">
        <v>4566.125</v>
      </c>
      <c r="F12" s="247">
        <v>1884.3333333333333</v>
      </c>
      <c r="G12" s="247">
        <v>2428.541666666667</v>
      </c>
      <c r="H12" s="247">
        <v>0</v>
      </c>
      <c r="I12" s="246">
        <v>19870.583333333336</v>
      </c>
      <c r="J12" s="246"/>
      <c r="K12" s="247">
        <v>0</v>
      </c>
      <c r="L12" s="247">
        <v>0</v>
      </c>
      <c r="M12" s="247">
        <v>0</v>
      </c>
      <c r="N12" s="246">
        <v>0</v>
      </c>
      <c r="O12" s="328"/>
      <c r="P12" s="247"/>
      <c r="Q12" s="246">
        <v>0</v>
      </c>
      <c r="R12" s="246">
        <v>0</v>
      </c>
      <c r="S12" s="246">
        <v>0</v>
      </c>
      <c r="T12" s="326"/>
      <c r="U12" s="326"/>
      <c r="V12" s="326"/>
      <c r="W12" s="326"/>
      <c r="X12" s="326"/>
      <c r="Y12" s="326"/>
      <c r="Z12" s="326"/>
      <c r="AA12" s="656"/>
      <c r="AB12" s="765"/>
      <c r="AC12" s="765"/>
      <c r="AD12" s="765"/>
      <c r="AE12" s="630"/>
    </row>
    <row r="13" spans="1:31" s="73" customFormat="1">
      <c r="A13" s="244"/>
      <c r="B13" s="248" t="s">
        <v>108</v>
      </c>
      <c r="C13" s="256">
        <v>2.2109703207500071E-2</v>
      </c>
      <c r="D13" s="257">
        <v>5.5758017492711372E-2</v>
      </c>
      <c r="E13" s="257">
        <v>3.2816549644220275E-2</v>
      </c>
      <c r="F13" s="663">
        <v>-7.1471101529617123E-2</v>
      </c>
      <c r="G13" s="257">
        <v>-8.4212317114663003E-3</v>
      </c>
      <c r="H13" s="257">
        <v>0</v>
      </c>
      <c r="I13" s="256">
        <v>1.2601946241604772E-2</v>
      </c>
      <c r="J13" s="256">
        <v>0</v>
      </c>
      <c r="K13" s="257">
        <v>0</v>
      </c>
      <c r="L13" s="257">
        <v>0</v>
      </c>
      <c r="M13" s="257">
        <v>0</v>
      </c>
      <c r="N13" s="256">
        <v>0</v>
      </c>
      <c r="O13" s="652">
        <v>0</v>
      </c>
      <c r="P13" s="257">
        <v>0</v>
      </c>
      <c r="Q13" s="256">
        <v>0</v>
      </c>
      <c r="R13" s="256">
        <v>0</v>
      </c>
      <c r="S13" s="256">
        <v>0</v>
      </c>
      <c r="T13" s="327">
        <v>0</v>
      </c>
      <c r="U13" s="327">
        <v>0</v>
      </c>
      <c r="V13" s="327">
        <v>0</v>
      </c>
      <c r="W13" s="327">
        <v>0</v>
      </c>
      <c r="X13" s="327">
        <v>0</v>
      </c>
      <c r="Y13" s="327">
        <v>0</v>
      </c>
      <c r="Z13" s="327">
        <v>0</v>
      </c>
      <c r="AA13" s="655">
        <v>0</v>
      </c>
      <c r="AB13" s="766"/>
      <c r="AC13" s="766"/>
      <c r="AD13" s="766"/>
      <c r="AE13" s="630"/>
    </row>
    <row r="14" spans="1:31" s="73" customFormat="1">
      <c r="A14" s="244"/>
      <c r="B14" s="245" t="s">
        <v>9</v>
      </c>
      <c r="C14" s="246">
        <v>61374.40833333334</v>
      </c>
      <c r="D14" s="247">
        <v>6283.3666666666668</v>
      </c>
      <c r="E14" s="247">
        <v>36486.675000000003</v>
      </c>
      <c r="F14" s="247">
        <v>16697.241666666665</v>
      </c>
      <c r="G14" s="247">
        <v>6593.4</v>
      </c>
      <c r="H14" s="247">
        <v>2973</v>
      </c>
      <c r="I14" s="246">
        <v>130408.09166666667</v>
      </c>
      <c r="J14" s="246"/>
      <c r="K14" s="247">
        <v>27220.566666666669</v>
      </c>
      <c r="L14" s="247">
        <v>40140.033333333333</v>
      </c>
      <c r="M14" s="247">
        <v>9758.6666666666661</v>
      </c>
      <c r="N14" s="246">
        <v>77119.266666666677</v>
      </c>
      <c r="O14" s="328"/>
      <c r="P14" s="247"/>
      <c r="Q14" s="246">
        <v>1657.2333333333333</v>
      </c>
      <c r="R14" s="246">
        <v>2644.5</v>
      </c>
      <c r="S14" s="246">
        <v>4301.7333333333336</v>
      </c>
      <c r="T14" s="326"/>
      <c r="U14" s="326"/>
      <c r="V14" s="326"/>
      <c r="W14" s="326"/>
      <c r="X14" s="326"/>
      <c r="Y14" s="326"/>
      <c r="Z14" s="326"/>
      <c r="AA14" s="656"/>
      <c r="AB14" s="765"/>
      <c r="AC14" s="765"/>
      <c r="AD14" s="765"/>
      <c r="AE14" s="630"/>
    </row>
    <row r="15" spans="1:31" s="73" customFormat="1">
      <c r="A15" s="244"/>
      <c r="B15" s="245" t="s">
        <v>110</v>
      </c>
      <c r="C15" s="246">
        <v>62980.650000000009</v>
      </c>
      <c r="D15" s="247">
        <v>6145.0666666666666</v>
      </c>
      <c r="E15" s="247">
        <v>38236.791666666672</v>
      </c>
      <c r="F15" s="247">
        <v>16292.366666666667</v>
      </c>
      <c r="G15" s="247">
        <v>6587.0750000000007</v>
      </c>
      <c r="H15" s="247">
        <v>2856.7333333333331</v>
      </c>
      <c r="I15" s="246">
        <v>133098.68333333335</v>
      </c>
      <c r="J15" s="246"/>
      <c r="K15" s="247">
        <v>26710.799999999999</v>
      </c>
      <c r="L15" s="247">
        <v>38344.900000000009</v>
      </c>
      <c r="M15" s="247">
        <v>9439</v>
      </c>
      <c r="N15" s="246">
        <v>74494.700000000012</v>
      </c>
      <c r="O15" s="328"/>
      <c r="P15" s="247"/>
      <c r="Q15" s="246">
        <v>1650.0666666666666</v>
      </c>
      <c r="R15" s="246">
        <v>2468.5</v>
      </c>
      <c r="S15" s="246">
        <v>4118.5666666666666</v>
      </c>
      <c r="T15" s="326"/>
      <c r="U15" s="326"/>
      <c r="V15" s="326"/>
      <c r="W15" s="326"/>
      <c r="X15" s="326"/>
      <c r="Y15" s="326"/>
      <c r="Z15" s="326"/>
      <c r="AA15" s="656"/>
      <c r="AB15" s="765"/>
      <c r="AC15" s="765"/>
      <c r="AD15" s="765"/>
      <c r="AE15" s="630"/>
    </row>
    <row r="16" spans="1:31" s="73" customFormat="1">
      <c r="A16" s="249"/>
      <c r="B16" s="325" t="s">
        <v>112</v>
      </c>
      <c r="C16" s="256">
        <v>2.617119594771385E-2</v>
      </c>
      <c r="D16" s="257">
        <v>-2.2010493313032852E-2</v>
      </c>
      <c r="E16" s="257">
        <v>4.7965912669945085E-2</v>
      </c>
      <c r="F16" s="257">
        <v>-2.4248017012789929E-2</v>
      </c>
      <c r="G16" s="257">
        <v>-9.5929262595912713E-4</v>
      </c>
      <c r="H16" s="257">
        <v>-3.9107523264940089E-2</v>
      </c>
      <c r="I16" s="256">
        <v>2.0632091400770117E-2</v>
      </c>
      <c r="J16" s="256">
        <v>0</v>
      </c>
      <c r="K16" s="257">
        <v>-1.8727261372222352E-2</v>
      </c>
      <c r="L16" s="257">
        <v>-4.4721769870644287E-2</v>
      </c>
      <c r="M16" s="257">
        <v>-3.2757207268752503E-2</v>
      </c>
      <c r="N16" s="256">
        <v>-3.4032567737071986E-2</v>
      </c>
      <c r="O16" s="652">
        <v>0</v>
      </c>
      <c r="P16" s="257">
        <v>0</v>
      </c>
      <c r="Q16" s="256">
        <v>-4.3244765372006007E-3</v>
      </c>
      <c r="R16" s="256">
        <v>-6.6553223671771605E-2</v>
      </c>
      <c r="S16" s="256">
        <v>-4.2579735300499091E-2</v>
      </c>
      <c r="T16" s="327">
        <v>0</v>
      </c>
      <c r="U16" s="327">
        <v>0</v>
      </c>
      <c r="V16" s="327">
        <v>0</v>
      </c>
      <c r="W16" s="327">
        <v>0</v>
      </c>
      <c r="X16" s="327">
        <v>0</v>
      </c>
      <c r="Y16" s="327">
        <v>0</v>
      </c>
      <c r="Z16" s="327">
        <v>0</v>
      </c>
      <c r="AA16" s="655">
        <v>0</v>
      </c>
      <c r="AB16" s="766"/>
      <c r="AC16" s="766"/>
      <c r="AD16" s="766"/>
      <c r="AE16" s="630"/>
    </row>
    <row r="17" spans="1:31" s="73" customFormat="1">
      <c r="A17" s="638" t="s">
        <v>168</v>
      </c>
      <c r="B17" s="636" t="s">
        <v>102</v>
      </c>
      <c r="C17" s="633">
        <v>15777.933333333332</v>
      </c>
      <c r="D17" s="637"/>
      <c r="E17" s="637">
        <v>25953.933333333334</v>
      </c>
      <c r="F17" s="637">
        <v>12798.833333333332</v>
      </c>
      <c r="G17" s="637">
        <v>2353.1</v>
      </c>
      <c r="H17" s="637">
        <v>9475.0666666666675</v>
      </c>
      <c r="I17" s="633">
        <v>66358.866666666669</v>
      </c>
      <c r="J17" s="633"/>
      <c r="K17" s="637">
        <v>13906.1</v>
      </c>
      <c r="L17" s="637">
        <v>6435.2</v>
      </c>
      <c r="M17" s="637">
        <v>24747.599999999999</v>
      </c>
      <c r="N17" s="633">
        <v>45088.899999999994</v>
      </c>
      <c r="O17" s="633"/>
      <c r="P17" s="637"/>
      <c r="Q17" s="633"/>
      <c r="R17" s="633"/>
      <c r="S17" s="633"/>
      <c r="T17" s="645"/>
      <c r="U17" s="645"/>
      <c r="V17" s="645"/>
      <c r="W17" s="645"/>
      <c r="X17" s="645"/>
      <c r="Y17" s="645"/>
      <c r="Z17" s="645"/>
      <c r="AA17" s="653"/>
      <c r="AB17" s="765"/>
      <c r="AC17" s="765"/>
      <c r="AD17" s="765"/>
      <c r="AE17" s="630"/>
    </row>
    <row r="18" spans="1:31" s="73" customFormat="1">
      <c r="A18" s="244"/>
      <c r="B18" s="245" t="s">
        <v>100</v>
      </c>
      <c r="C18" s="246">
        <v>17529.766666666666</v>
      </c>
      <c r="D18" s="247"/>
      <c r="E18" s="247">
        <v>26185.166666666664</v>
      </c>
      <c r="F18" s="247">
        <v>13326.366666666667</v>
      </c>
      <c r="G18" s="247">
        <v>2400.0666666666666</v>
      </c>
      <c r="H18" s="247">
        <v>9355.5666666666657</v>
      </c>
      <c r="I18" s="246">
        <v>68796.933333333334</v>
      </c>
      <c r="J18" s="246"/>
      <c r="K18" s="247">
        <v>14524.8</v>
      </c>
      <c r="L18" s="247">
        <v>6430.5</v>
      </c>
      <c r="M18" s="247">
        <v>24259.73333333333</v>
      </c>
      <c r="N18" s="246">
        <v>45215.033333333326</v>
      </c>
      <c r="O18" s="246"/>
      <c r="P18" s="247"/>
      <c r="Q18" s="246"/>
      <c r="R18" s="246"/>
      <c r="S18" s="246"/>
      <c r="T18" s="326"/>
      <c r="U18" s="326"/>
      <c r="V18" s="326"/>
      <c r="W18" s="326"/>
      <c r="X18" s="326"/>
      <c r="Y18" s="326"/>
      <c r="Z18" s="326"/>
      <c r="AA18" s="654"/>
      <c r="AB18" s="765"/>
      <c r="AC18" s="765"/>
      <c r="AD18" s="765"/>
      <c r="AE18" s="630"/>
    </row>
    <row r="19" spans="1:31" s="73" customFormat="1">
      <c r="A19" s="244"/>
      <c r="B19" s="248" t="s">
        <v>114</v>
      </c>
      <c r="C19" s="665">
        <v>0.11103059547300242</v>
      </c>
      <c r="D19" s="257">
        <v>0</v>
      </c>
      <c r="E19" s="257">
        <v>8.9093753291086229E-3</v>
      </c>
      <c r="F19" s="257">
        <v>4.12172984516819E-2</v>
      </c>
      <c r="G19" s="257">
        <v>1.9959486068023755E-2</v>
      </c>
      <c r="H19" s="663">
        <v>-1.2612048464039143E-2</v>
      </c>
      <c r="I19" s="256">
        <v>3.6740631495615468E-2</v>
      </c>
      <c r="J19" s="256">
        <v>0</v>
      </c>
      <c r="K19" s="257">
        <v>4.4491266422648973E-2</v>
      </c>
      <c r="L19" s="663">
        <v>-7.3035803083040438E-4</v>
      </c>
      <c r="M19" s="663">
        <v>-1.9713696142925723E-2</v>
      </c>
      <c r="N19" s="256">
        <v>2.7974364718000651E-3</v>
      </c>
      <c r="O19" s="652">
        <v>0</v>
      </c>
      <c r="P19" s="257">
        <v>0</v>
      </c>
      <c r="Q19" s="256">
        <v>0</v>
      </c>
      <c r="R19" s="256">
        <v>0</v>
      </c>
      <c r="S19" s="256">
        <v>0</v>
      </c>
      <c r="T19" s="327">
        <v>0</v>
      </c>
      <c r="U19" s="327">
        <v>0</v>
      </c>
      <c r="V19" s="327">
        <v>0</v>
      </c>
      <c r="W19" s="327">
        <v>0</v>
      </c>
      <c r="X19" s="327">
        <v>0</v>
      </c>
      <c r="Y19" s="327">
        <v>0</v>
      </c>
      <c r="Z19" s="327">
        <v>0</v>
      </c>
      <c r="AA19" s="655">
        <v>0</v>
      </c>
      <c r="AB19" s="766"/>
      <c r="AC19" s="766"/>
      <c r="AD19" s="766"/>
      <c r="AE19" s="630"/>
    </row>
    <row r="20" spans="1:31" s="73" customFormat="1">
      <c r="A20" s="244"/>
      <c r="B20" s="245" t="s">
        <v>98</v>
      </c>
      <c r="C20" s="246">
        <v>0</v>
      </c>
      <c r="D20" s="247"/>
      <c r="E20" s="247">
        <v>0</v>
      </c>
      <c r="F20" s="247">
        <v>0</v>
      </c>
      <c r="G20" s="247">
        <v>0</v>
      </c>
      <c r="H20" s="247">
        <v>0</v>
      </c>
      <c r="I20" s="246">
        <v>0</v>
      </c>
      <c r="J20" s="246"/>
      <c r="K20" s="247">
        <v>0</v>
      </c>
      <c r="L20" s="247">
        <v>0</v>
      </c>
      <c r="M20" s="247">
        <v>0</v>
      </c>
      <c r="N20" s="246">
        <v>0</v>
      </c>
      <c r="O20" s="328"/>
      <c r="P20" s="247"/>
      <c r="Q20" s="246"/>
      <c r="R20" s="246"/>
      <c r="S20" s="246"/>
      <c r="T20" s="326"/>
      <c r="U20" s="326"/>
      <c r="V20" s="326"/>
      <c r="W20" s="326"/>
      <c r="X20" s="326"/>
      <c r="Y20" s="326"/>
      <c r="Z20" s="326"/>
      <c r="AA20" s="656"/>
      <c r="AB20" s="765"/>
      <c r="AC20" s="765"/>
      <c r="AD20" s="765"/>
      <c r="AE20" s="630"/>
    </row>
    <row r="21" spans="1:31" s="73" customFormat="1">
      <c r="A21" s="244"/>
      <c r="B21" s="245" t="s">
        <v>96</v>
      </c>
      <c r="C21" s="246">
        <v>0</v>
      </c>
      <c r="D21" s="247"/>
      <c r="E21" s="247">
        <v>0</v>
      </c>
      <c r="F21" s="247">
        <v>0</v>
      </c>
      <c r="G21" s="247">
        <v>0</v>
      </c>
      <c r="H21" s="247">
        <v>0</v>
      </c>
      <c r="I21" s="246">
        <v>0</v>
      </c>
      <c r="J21" s="246"/>
      <c r="K21" s="247">
        <v>0</v>
      </c>
      <c r="L21" s="247">
        <v>0</v>
      </c>
      <c r="M21" s="247">
        <v>0</v>
      </c>
      <c r="N21" s="246">
        <v>0</v>
      </c>
      <c r="O21" s="328"/>
      <c r="P21" s="247"/>
      <c r="Q21" s="246"/>
      <c r="R21" s="246"/>
      <c r="S21" s="246"/>
      <c r="T21" s="326"/>
      <c r="U21" s="326"/>
      <c r="V21" s="326"/>
      <c r="W21" s="326"/>
      <c r="X21" s="326"/>
      <c r="Y21" s="326"/>
      <c r="Z21" s="326"/>
      <c r="AA21" s="656"/>
      <c r="AB21" s="765"/>
      <c r="AC21" s="765"/>
      <c r="AD21" s="765"/>
      <c r="AE21" s="630"/>
    </row>
    <row r="22" spans="1:31" s="73" customFormat="1">
      <c r="A22" s="244"/>
      <c r="B22" s="248" t="s">
        <v>116</v>
      </c>
      <c r="C22" s="256">
        <v>0</v>
      </c>
      <c r="D22" s="257">
        <v>0</v>
      </c>
      <c r="E22" s="257">
        <v>0</v>
      </c>
      <c r="F22" s="257">
        <v>0</v>
      </c>
      <c r="G22" s="257">
        <v>0</v>
      </c>
      <c r="H22" s="257">
        <v>0</v>
      </c>
      <c r="I22" s="256">
        <v>0</v>
      </c>
      <c r="J22" s="256">
        <v>0</v>
      </c>
      <c r="K22" s="257">
        <v>0</v>
      </c>
      <c r="L22" s="257">
        <v>0</v>
      </c>
      <c r="M22" s="257">
        <v>0</v>
      </c>
      <c r="N22" s="256">
        <v>0</v>
      </c>
      <c r="O22" s="652">
        <v>0</v>
      </c>
      <c r="P22" s="257">
        <v>0</v>
      </c>
      <c r="Q22" s="256">
        <v>0</v>
      </c>
      <c r="R22" s="256">
        <v>0</v>
      </c>
      <c r="S22" s="256">
        <v>0</v>
      </c>
      <c r="T22" s="327">
        <v>0</v>
      </c>
      <c r="U22" s="327">
        <v>0</v>
      </c>
      <c r="V22" s="327">
        <v>0</v>
      </c>
      <c r="W22" s="327">
        <v>0</v>
      </c>
      <c r="X22" s="327">
        <v>0</v>
      </c>
      <c r="Y22" s="327">
        <v>0</v>
      </c>
      <c r="Z22" s="327">
        <v>0</v>
      </c>
      <c r="AA22" s="655">
        <v>0</v>
      </c>
      <c r="AB22" s="766"/>
      <c r="AC22" s="766"/>
      <c r="AD22" s="766"/>
      <c r="AE22" s="630"/>
    </row>
    <row r="23" spans="1:31" s="73" customFormat="1">
      <c r="A23" s="244"/>
      <c r="B23" s="245" t="s">
        <v>104</v>
      </c>
      <c r="C23" s="246">
        <v>3149.4583333333335</v>
      </c>
      <c r="D23" s="247"/>
      <c r="E23" s="247">
        <v>6408.208333333333</v>
      </c>
      <c r="F23" s="247">
        <v>1182.0833333333333</v>
      </c>
      <c r="G23" s="247">
        <v>107.95833333333333</v>
      </c>
      <c r="H23" s="247">
        <v>88.833333333333329</v>
      </c>
      <c r="I23" s="246">
        <v>10936.541666666668</v>
      </c>
      <c r="J23" s="246"/>
      <c r="K23" s="247">
        <v>0</v>
      </c>
      <c r="L23" s="247">
        <v>0</v>
      </c>
      <c r="M23" s="247">
        <v>0</v>
      </c>
      <c r="N23" s="246">
        <v>0</v>
      </c>
      <c r="O23" s="328"/>
      <c r="P23" s="247"/>
      <c r="Q23" s="246"/>
      <c r="R23" s="246"/>
      <c r="S23" s="246"/>
      <c r="T23" s="326"/>
      <c r="U23" s="326"/>
      <c r="V23" s="326"/>
      <c r="W23" s="326"/>
      <c r="X23" s="326"/>
      <c r="Y23" s="326"/>
      <c r="Z23" s="326"/>
      <c r="AA23" s="656"/>
      <c r="AB23" s="765"/>
      <c r="AC23" s="765"/>
      <c r="AD23" s="765"/>
      <c r="AE23" s="630"/>
    </row>
    <row r="24" spans="1:31" s="73" customFormat="1">
      <c r="A24" s="244"/>
      <c r="B24" s="245" t="s">
        <v>106</v>
      </c>
      <c r="C24" s="246">
        <v>3215.9583333333335</v>
      </c>
      <c r="D24" s="247"/>
      <c r="E24" s="247">
        <v>6924.541666666667</v>
      </c>
      <c r="F24" s="247">
        <v>1201.5</v>
      </c>
      <c r="G24" s="247">
        <v>86.625</v>
      </c>
      <c r="H24" s="247">
        <v>78.541666666666671</v>
      </c>
      <c r="I24" s="246">
        <v>11507.166666666666</v>
      </c>
      <c r="J24" s="246"/>
      <c r="K24" s="247">
        <v>0</v>
      </c>
      <c r="L24" s="247">
        <v>0</v>
      </c>
      <c r="M24" s="247">
        <v>0</v>
      </c>
      <c r="N24" s="246">
        <v>0</v>
      </c>
      <c r="O24" s="328"/>
      <c r="P24" s="247"/>
      <c r="Q24" s="246"/>
      <c r="R24" s="246"/>
      <c r="S24" s="246"/>
      <c r="T24" s="326"/>
      <c r="U24" s="326"/>
      <c r="V24" s="326"/>
      <c r="W24" s="326"/>
      <c r="X24" s="326"/>
      <c r="Y24" s="326"/>
      <c r="Z24" s="326"/>
      <c r="AA24" s="656"/>
      <c r="AB24" s="765"/>
      <c r="AC24" s="765"/>
      <c r="AD24" s="765"/>
      <c r="AE24" s="630"/>
    </row>
    <row r="25" spans="1:31" s="73" customFormat="1">
      <c r="A25" s="244"/>
      <c r="B25" s="248" t="s">
        <v>108</v>
      </c>
      <c r="C25" s="256">
        <v>2.1114741952981332E-2</v>
      </c>
      <c r="D25" s="257">
        <v>0</v>
      </c>
      <c r="E25" s="663">
        <v>8.0573743310987961E-2</v>
      </c>
      <c r="F25" s="257">
        <v>1.642580190341917E-2</v>
      </c>
      <c r="G25" s="257">
        <v>-0.1976071015052103</v>
      </c>
      <c r="H25" s="257">
        <v>-0.11585365853658526</v>
      </c>
      <c r="I25" s="256">
        <v>5.2176000182872821E-2</v>
      </c>
      <c r="J25" s="256">
        <v>0</v>
      </c>
      <c r="K25" s="257">
        <v>0</v>
      </c>
      <c r="L25" s="257">
        <v>0</v>
      </c>
      <c r="M25" s="257">
        <v>0</v>
      </c>
      <c r="N25" s="256">
        <v>0</v>
      </c>
      <c r="O25" s="652">
        <v>0</v>
      </c>
      <c r="P25" s="257">
        <v>0</v>
      </c>
      <c r="Q25" s="256">
        <v>0</v>
      </c>
      <c r="R25" s="256">
        <v>0</v>
      </c>
      <c r="S25" s="256">
        <v>0</v>
      </c>
      <c r="T25" s="327">
        <v>0</v>
      </c>
      <c r="U25" s="327">
        <v>0</v>
      </c>
      <c r="V25" s="327">
        <v>0</v>
      </c>
      <c r="W25" s="327">
        <v>0</v>
      </c>
      <c r="X25" s="327">
        <v>0</v>
      </c>
      <c r="Y25" s="327">
        <v>0</v>
      </c>
      <c r="Z25" s="327">
        <v>0</v>
      </c>
      <c r="AA25" s="655">
        <v>0</v>
      </c>
      <c r="AB25" s="766"/>
      <c r="AC25" s="766"/>
      <c r="AD25" s="766"/>
      <c r="AE25" s="630"/>
    </row>
    <row r="26" spans="1:31" s="73" customFormat="1">
      <c r="A26" s="244"/>
      <c r="B26" s="245" t="s">
        <v>9</v>
      </c>
      <c r="C26" s="246">
        <v>18927.391666666666</v>
      </c>
      <c r="D26" s="247"/>
      <c r="E26" s="247">
        <v>32362.14166666667</v>
      </c>
      <c r="F26" s="247">
        <v>13980.916666666668</v>
      </c>
      <c r="G26" s="247">
        <v>2461.0583333333334</v>
      </c>
      <c r="H26" s="247">
        <v>9563.9000000000015</v>
      </c>
      <c r="I26" s="246">
        <v>77295.408333333355</v>
      </c>
      <c r="J26" s="246"/>
      <c r="K26" s="247">
        <v>13906.1</v>
      </c>
      <c r="L26" s="247">
        <v>6435.2</v>
      </c>
      <c r="M26" s="247">
        <v>24747.599999999999</v>
      </c>
      <c r="N26" s="246">
        <v>45088.899999999994</v>
      </c>
      <c r="O26" s="328"/>
      <c r="P26" s="247"/>
      <c r="Q26" s="246"/>
      <c r="R26" s="246"/>
      <c r="S26" s="246"/>
      <c r="T26" s="326"/>
      <c r="U26" s="326"/>
      <c r="V26" s="326"/>
      <c r="W26" s="326"/>
      <c r="X26" s="326"/>
      <c r="Y26" s="326"/>
      <c r="Z26" s="326"/>
      <c r="AA26" s="656"/>
      <c r="AB26" s="765"/>
      <c r="AC26" s="765"/>
      <c r="AD26" s="765"/>
      <c r="AE26" s="630"/>
    </row>
    <row r="27" spans="1:31" s="73" customFormat="1">
      <c r="A27" s="244"/>
      <c r="B27" s="245" t="s">
        <v>110</v>
      </c>
      <c r="C27" s="246">
        <v>20745.724999999999</v>
      </c>
      <c r="D27" s="247"/>
      <c r="E27" s="247">
        <v>33109.708333333328</v>
      </c>
      <c r="F27" s="247">
        <v>14527.866666666667</v>
      </c>
      <c r="G27" s="247">
        <v>2486.6916666666666</v>
      </c>
      <c r="H27" s="247">
        <v>9434.1083333333336</v>
      </c>
      <c r="I27" s="246">
        <v>80304.099999999991</v>
      </c>
      <c r="J27" s="246"/>
      <c r="K27" s="247">
        <v>14524.8</v>
      </c>
      <c r="L27" s="247">
        <v>6430.5</v>
      </c>
      <c r="M27" s="247">
        <v>24259.73333333333</v>
      </c>
      <c r="N27" s="246">
        <v>45215.033333333326</v>
      </c>
      <c r="O27" s="328"/>
      <c r="P27" s="247"/>
      <c r="Q27" s="246"/>
      <c r="R27" s="246"/>
      <c r="S27" s="246"/>
      <c r="T27" s="326"/>
      <c r="U27" s="326"/>
      <c r="V27" s="326"/>
      <c r="W27" s="326"/>
      <c r="X27" s="326"/>
      <c r="Y27" s="326"/>
      <c r="Z27" s="326"/>
      <c r="AA27" s="656"/>
      <c r="AB27" s="765"/>
      <c r="AC27" s="765"/>
      <c r="AD27" s="765"/>
      <c r="AE27" s="630"/>
    </row>
    <row r="28" spans="1:31" s="73" customFormat="1">
      <c r="A28" s="249"/>
      <c r="B28" s="325" t="s">
        <v>112</v>
      </c>
      <c r="C28" s="256">
        <v>9.6068880771122217E-2</v>
      </c>
      <c r="D28" s="257">
        <v>0</v>
      </c>
      <c r="E28" s="257">
        <v>2.3100036900112194E-2</v>
      </c>
      <c r="F28" s="257">
        <v>3.9121183041169134E-2</v>
      </c>
      <c r="G28" s="257">
        <v>1.0415573245927345E-2</v>
      </c>
      <c r="H28" s="257">
        <v>-1.357099788440572E-2</v>
      </c>
      <c r="I28" s="256">
        <v>3.8924584675092078E-2</v>
      </c>
      <c r="J28" s="256">
        <v>0</v>
      </c>
      <c r="K28" s="257">
        <v>4.4491266422648973E-2</v>
      </c>
      <c r="L28" s="257">
        <v>-7.3035803083040438E-4</v>
      </c>
      <c r="M28" s="257">
        <v>-1.9713696142925723E-2</v>
      </c>
      <c r="N28" s="256">
        <v>2.7974364718000651E-3</v>
      </c>
      <c r="O28" s="652">
        <v>0</v>
      </c>
      <c r="P28" s="257">
        <v>0</v>
      </c>
      <c r="Q28" s="256">
        <v>0</v>
      </c>
      <c r="R28" s="256">
        <v>0</v>
      </c>
      <c r="S28" s="256">
        <v>0</v>
      </c>
      <c r="T28" s="327">
        <v>0</v>
      </c>
      <c r="U28" s="327">
        <v>0</v>
      </c>
      <c r="V28" s="327">
        <v>0</v>
      </c>
      <c r="W28" s="327">
        <v>0</v>
      </c>
      <c r="X28" s="327">
        <v>0</v>
      </c>
      <c r="Y28" s="327">
        <v>0</v>
      </c>
      <c r="Z28" s="327">
        <v>0</v>
      </c>
      <c r="AA28" s="655">
        <v>0</v>
      </c>
      <c r="AB28" s="766"/>
      <c r="AC28" s="766"/>
      <c r="AD28" s="766"/>
      <c r="AE28" s="630"/>
    </row>
    <row r="29" spans="1:31" s="73" customFormat="1">
      <c r="A29" s="638" t="s">
        <v>8</v>
      </c>
      <c r="B29" s="636" t="s">
        <v>102</v>
      </c>
      <c r="C29" s="633">
        <v>17318.166666666668</v>
      </c>
      <c r="D29" s="637"/>
      <c r="E29" s="637"/>
      <c r="F29" s="637">
        <v>3319.4666666666667</v>
      </c>
      <c r="G29" s="637"/>
      <c r="H29" s="637"/>
      <c r="I29" s="633">
        <v>20637.633333333335</v>
      </c>
      <c r="J29" s="633"/>
      <c r="K29" s="637">
        <v>5423</v>
      </c>
      <c r="L29" s="637">
        <v>6026.9666666666672</v>
      </c>
      <c r="M29" s="637"/>
      <c r="N29" s="633">
        <v>11449.966666666667</v>
      </c>
      <c r="O29" s="633"/>
      <c r="P29" s="637"/>
      <c r="Q29" s="633"/>
      <c r="R29" s="633"/>
      <c r="S29" s="633"/>
      <c r="T29" s="645"/>
      <c r="U29" s="645"/>
      <c r="V29" s="645"/>
      <c r="W29" s="645"/>
      <c r="X29" s="645"/>
      <c r="Y29" s="645"/>
      <c r="Z29" s="645"/>
      <c r="AA29" s="653"/>
      <c r="AB29" s="765"/>
      <c r="AC29" s="765"/>
      <c r="AD29" s="765"/>
      <c r="AE29" s="630"/>
    </row>
    <row r="30" spans="1:31" s="73" customFormat="1">
      <c r="A30" s="244"/>
      <c r="B30" s="245" t="s">
        <v>100</v>
      </c>
      <c r="C30" s="246">
        <v>17519.966666666667</v>
      </c>
      <c r="D30" s="247"/>
      <c r="E30" s="247"/>
      <c r="F30" s="247">
        <v>3441.0333333333333</v>
      </c>
      <c r="G30" s="247"/>
      <c r="H30" s="247"/>
      <c r="I30" s="246">
        <v>20961</v>
      </c>
      <c r="J30" s="246"/>
      <c r="K30" s="247">
        <v>5258.4</v>
      </c>
      <c r="L30" s="247">
        <v>5958.9333333333334</v>
      </c>
      <c r="M30" s="247"/>
      <c r="N30" s="246">
        <v>11217.333333333332</v>
      </c>
      <c r="O30" s="246"/>
      <c r="P30" s="247"/>
      <c r="Q30" s="246"/>
      <c r="R30" s="246"/>
      <c r="S30" s="246"/>
      <c r="T30" s="326"/>
      <c r="U30" s="326"/>
      <c r="V30" s="326"/>
      <c r="W30" s="326"/>
      <c r="X30" s="326"/>
      <c r="Y30" s="326"/>
      <c r="Z30" s="326"/>
      <c r="AA30" s="654"/>
      <c r="AB30" s="765"/>
      <c r="AC30" s="765"/>
      <c r="AD30" s="765"/>
      <c r="AE30" s="630"/>
    </row>
    <row r="31" spans="1:31" s="73" customFormat="1">
      <c r="A31" s="244"/>
      <c r="B31" s="248" t="s">
        <v>114</v>
      </c>
      <c r="C31" s="256">
        <v>1.1652503632986512E-2</v>
      </c>
      <c r="D31" s="257">
        <v>0</v>
      </c>
      <c r="E31" s="257">
        <v>0</v>
      </c>
      <c r="F31" s="257">
        <v>3.6622348971722347E-2</v>
      </c>
      <c r="G31" s="257">
        <v>0</v>
      </c>
      <c r="H31" s="257">
        <v>0</v>
      </c>
      <c r="I31" s="256">
        <v>1.5668786311091788E-2</v>
      </c>
      <c r="J31" s="256">
        <v>0</v>
      </c>
      <c r="K31" s="663">
        <v>-3.0352203577355776E-2</v>
      </c>
      <c r="L31" s="663">
        <v>-1.1288154903793575E-2</v>
      </c>
      <c r="M31" s="257">
        <v>0</v>
      </c>
      <c r="N31" s="256">
        <v>-2.0317380836625425E-2</v>
      </c>
      <c r="O31" s="652">
        <v>0</v>
      </c>
      <c r="P31" s="257">
        <v>0</v>
      </c>
      <c r="Q31" s="256">
        <v>0</v>
      </c>
      <c r="R31" s="256">
        <v>0</v>
      </c>
      <c r="S31" s="256">
        <v>0</v>
      </c>
      <c r="T31" s="327">
        <v>0</v>
      </c>
      <c r="U31" s="327">
        <v>0</v>
      </c>
      <c r="V31" s="327">
        <v>0</v>
      </c>
      <c r="W31" s="327">
        <v>0</v>
      </c>
      <c r="X31" s="327">
        <v>0</v>
      </c>
      <c r="Y31" s="327">
        <v>0</v>
      </c>
      <c r="Z31" s="327">
        <v>0</v>
      </c>
      <c r="AA31" s="655">
        <v>0</v>
      </c>
      <c r="AB31" s="766"/>
      <c r="AC31" s="766"/>
      <c r="AD31" s="766"/>
      <c r="AE31" s="630"/>
    </row>
    <row r="32" spans="1:31" s="73" customFormat="1">
      <c r="A32" s="244"/>
      <c r="B32" s="245" t="s">
        <v>98</v>
      </c>
      <c r="C32" s="246">
        <v>0</v>
      </c>
      <c r="D32" s="247"/>
      <c r="E32" s="247"/>
      <c r="F32" s="247">
        <v>0</v>
      </c>
      <c r="G32" s="247"/>
      <c r="H32" s="247"/>
      <c r="I32" s="246">
        <v>0</v>
      </c>
      <c r="J32" s="246"/>
      <c r="K32" s="247">
        <v>0</v>
      </c>
      <c r="L32" s="247">
        <v>0</v>
      </c>
      <c r="M32" s="247"/>
      <c r="N32" s="246">
        <v>0</v>
      </c>
      <c r="O32" s="328"/>
      <c r="P32" s="247"/>
      <c r="Q32" s="246"/>
      <c r="R32" s="246"/>
      <c r="S32" s="246"/>
      <c r="T32" s="326"/>
      <c r="U32" s="326"/>
      <c r="V32" s="326"/>
      <c r="W32" s="326"/>
      <c r="X32" s="326"/>
      <c r="Y32" s="326"/>
      <c r="Z32" s="326"/>
      <c r="AA32" s="656"/>
      <c r="AB32" s="765"/>
      <c r="AC32" s="765"/>
      <c r="AD32" s="765"/>
      <c r="AE32" s="630"/>
    </row>
    <row r="33" spans="1:31" s="73" customFormat="1">
      <c r="A33" s="244"/>
      <c r="B33" s="245" t="s">
        <v>96</v>
      </c>
      <c r="C33" s="246">
        <v>0</v>
      </c>
      <c r="D33" s="247"/>
      <c r="E33" s="247"/>
      <c r="F33" s="247">
        <v>0</v>
      </c>
      <c r="G33" s="247"/>
      <c r="H33" s="247"/>
      <c r="I33" s="246">
        <v>0</v>
      </c>
      <c r="J33" s="246"/>
      <c r="K33" s="247">
        <v>0</v>
      </c>
      <c r="L33" s="247">
        <v>0</v>
      </c>
      <c r="M33" s="247"/>
      <c r="N33" s="246">
        <v>0</v>
      </c>
      <c r="O33" s="328"/>
      <c r="P33" s="247"/>
      <c r="Q33" s="246"/>
      <c r="R33" s="246"/>
      <c r="S33" s="246"/>
      <c r="T33" s="326"/>
      <c r="U33" s="326"/>
      <c r="V33" s="326"/>
      <c r="W33" s="326"/>
      <c r="X33" s="326"/>
      <c r="Y33" s="326"/>
      <c r="Z33" s="326"/>
      <c r="AA33" s="656"/>
      <c r="AB33" s="765"/>
      <c r="AC33" s="765"/>
      <c r="AD33" s="765"/>
      <c r="AE33" s="630"/>
    </row>
    <row r="34" spans="1:31" s="73" customFormat="1">
      <c r="A34" s="244"/>
      <c r="B34" s="248" t="s">
        <v>116</v>
      </c>
      <c r="C34" s="256">
        <v>0</v>
      </c>
      <c r="D34" s="257">
        <v>0</v>
      </c>
      <c r="E34" s="257">
        <v>0</v>
      </c>
      <c r="F34" s="257">
        <v>0</v>
      </c>
      <c r="G34" s="257">
        <v>0</v>
      </c>
      <c r="H34" s="257">
        <v>0</v>
      </c>
      <c r="I34" s="256">
        <v>0</v>
      </c>
      <c r="J34" s="256">
        <v>0</v>
      </c>
      <c r="K34" s="257">
        <v>0</v>
      </c>
      <c r="L34" s="257">
        <v>0</v>
      </c>
      <c r="M34" s="257">
        <v>0</v>
      </c>
      <c r="N34" s="256">
        <v>0</v>
      </c>
      <c r="O34" s="652">
        <v>0</v>
      </c>
      <c r="P34" s="257">
        <v>0</v>
      </c>
      <c r="Q34" s="256">
        <v>0</v>
      </c>
      <c r="R34" s="256">
        <v>0</v>
      </c>
      <c r="S34" s="256">
        <v>0</v>
      </c>
      <c r="T34" s="327">
        <v>0</v>
      </c>
      <c r="U34" s="327">
        <v>0</v>
      </c>
      <c r="V34" s="327">
        <v>0</v>
      </c>
      <c r="W34" s="327">
        <v>0</v>
      </c>
      <c r="X34" s="327">
        <v>0</v>
      </c>
      <c r="Y34" s="327">
        <v>0</v>
      </c>
      <c r="Z34" s="327">
        <v>0</v>
      </c>
      <c r="AA34" s="655">
        <v>0</v>
      </c>
      <c r="AB34" s="766"/>
      <c r="AC34" s="766"/>
      <c r="AD34" s="766"/>
      <c r="AE34" s="630"/>
    </row>
    <row r="35" spans="1:31" s="73" customFormat="1">
      <c r="A35" s="244"/>
      <c r="B35" s="245" t="s">
        <v>104</v>
      </c>
      <c r="C35" s="246">
        <v>2271.875</v>
      </c>
      <c r="D35" s="247"/>
      <c r="E35" s="247"/>
      <c r="F35" s="247">
        <v>288.625</v>
      </c>
      <c r="G35" s="247"/>
      <c r="H35" s="247"/>
      <c r="I35" s="246">
        <v>2560.5</v>
      </c>
      <c r="J35" s="246"/>
      <c r="K35" s="247">
        <v>0</v>
      </c>
      <c r="L35" s="247">
        <v>0</v>
      </c>
      <c r="M35" s="247"/>
      <c r="N35" s="246">
        <v>0</v>
      </c>
      <c r="O35" s="328"/>
      <c r="P35" s="247"/>
      <c r="Q35" s="246"/>
      <c r="R35" s="246"/>
      <c r="S35" s="246"/>
      <c r="T35" s="326"/>
      <c r="U35" s="326"/>
      <c r="V35" s="326"/>
      <c r="W35" s="326"/>
      <c r="X35" s="326"/>
      <c r="Y35" s="326"/>
      <c r="Z35" s="326"/>
      <c r="AA35" s="656"/>
      <c r="AB35" s="765"/>
      <c r="AC35" s="765"/>
      <c r="AD35" s="765"/>
      <c r="AE35" s="630"/>
    </row>
    <row r="36" spans="1:31" s="73" customFormat="1">
      <c r="A36" s="244"/>
      <c r="B36" s="245" t="s">
        <v>106</v>
      </c>
      <c r="C36" s="246">
        <v>2156</v>
      </c>
      <c r="D36" s="247"/>
      <c r="E36" s="247"/>
      <c r="F36" s="247">
        <v>338.125</v>
      </c>
      <c r="G36" s="247"/>
      <c r="H36" s="247"/>
      <c r="I36" s="246">
        <v>2494.125</v>
      </c>
      <c r="J36" s="246"/>
      <c r="K36" s="247">
        <v>0</v>
      </c>
      <c r="L36" s="247">
        <v>0</v>
      </c>
      <c r="M36" s="247"/>
      <c r="N36" s="246">
        <v>0</v>
      </c>
      <c r="O36" s="328"/>
      <c r="P36" s="247"/>
      <c r="Q36" s="246"/>
      <c r="R36" s="246"/>
      <c r="S36" s="246"/>
      <c r="T36" s="326"/>
      <c r="U36" s="326"/>
      <c r="V36" s="326"/>
      <c r="W36" s="326"/>
      <c r="X36" s="326"/>
      <c r="Y36" s="326"/>
      <c r="Z36" s="326"/>
      <c r="AA36" s="656"/>
      <c r="AB36" s="765"/>
      <c r="AC36" s="765"/>
      <c r="AD36" s="765"/>
      <c r="AE36" s="630"/>
    </row>
    <row r="37" spans="1:31" s="73" customFormat="1">
      <c r="A37" s="244"/>
      <c r="B37" s="248" t="s">
        <v>108</v>
      </c>
      <c r="C37" s="256">
        <v>-5.1004126547455293E-2</v>
      </c>
      <c r="D37" s="257">
        <v>0</v>
      </c>
      <c r="E37" s="257">
        <v>0</v>
      </c>
      <c r="F37" s="257">
        <v>0.17150281507145951</v>
      </c>
      <c r="G37" s="257">
        <v>0</v>
      </c>
      <c r="H37" s="257">
        <v>0</v>
      </c>
      <c r="I37" s="256">
        <v>-2.5922671353251318E-2</v>
      </c>
      <c r="J37" s="256">
        <v>0</v>
      </c>
      <c r="K37" s="257">
        <v>0</v>
      </c>
      <c r="L37" s="257">
        <v>0</v>
      </c>
      <c r="M37" s="257">
        <v>0</v>
      </c>
      <c r="N37" s="256">
        <v>0</v>
      </c>
      <c r="O37" s="652">
        <v>0</v>
      </c>
      <c r="P37" s="257">
        <v>0</v>
      </c>
      <c r="Q37" s="256">
        <v>0</v>
      </c>
      <c r="R37" s="256">
        <v>0</v>
      </c>
      <c r="S37" s="256">
        <v>0</v>
      </c>
      <c r="T37" s="327">
        <v>0</v>
      </c>
      <c r="U37" s="327">
        <v>0</v>
      </c>
      <c r="V37" s="327">
        <v>0</v>
      </c>
      <c r="W37" s="327">
        <v>0</v>
      </c>
      <c r="X37" s="327">
        <v>0</v>
      </c>
      <c r="Y37" s="327">
        <v>0</v>
      </c>
      <c r="Z37" s="327">
        <v>0</v>
      </c>
      <c r="AA37" s="655">
        <v>0</v>
      </c>
      <c r="AB37" s="766"/>
      <c r="AC37" s="766"/>
      <c r="AD37" s="766"/>
      <c r="AE37" s="630"/>
    </row>
    <row r="38" spans="1:31" s="73" customFormat="1">
      <c r="A38" s="244"/>
      <c r="B38" s="245" t="s">
        <v>9</v>
      </c>
      <c r="C38" s="246">
        <v>19590.041666666668</v>
      </c>
      <c r="D38" s="247"/>
      <c r="E38" s="247"/>
      <c r="F38" s="247">
        <v>3608.0916666666667</v>
      </c>
      <c r="G38" s="247"/>
      <c r="H38" s="247"/>
      <c r="I38" s="246">
        <v>23198.133333333335</v>
      </c>
      <c r="J38" s="246"/>
      <c r="K38" s="247">
        <v>5423</v>
      </c>
      <c r="L38" s="247">
        <v>6026.9666666666672</v>
      </c>
      <c r="M38" s="247"/>
      <c r="N38" s="246">
        <v>11449.966666666667</v>
      </c>
      <c r="O38" s="328"/>
      <c r="P38" s="247"/>
      <c r="Q38" s="246"/>
      <c r="R38" s="246"/>
      <c r="S38" s="246"/>
      <c r="T38" s="326"/>
      <c r="U38" s="326"/>
      <c r="V38" s="326"/>
      <c r="W38" s="326"/>
      <c r="X38" s="326"/>
      <c r="Y38" s="326"/>
      <c r="Z38" s="326"/>
      <c r="AA38" s="656"/>
      <c r="AB38" s="765"/>
      <c r="AC38" s="765"/>
      <c r="AD38" s="765"/>
      <c r="AE38" s="630"/>
    </row>
    <row r="39" spans="1:31" s="73" customFormat="1">
      <c r="A39" s="244"/>
      <c r="B39" s="245" t="s">
        <v>110</v>
      </c>
      <c r="C39" s="246">
        <v>19675.966666666667</v>
      </c>
      <c r="D39" s="247"/>
      <c r="E39" s="247"/>
      <c r="F39" s="247">
        <v>3779.1583333333333</v>
      </c>
      <c r="G39" s="247"/>
      <c r="H39" s="247"/>
      <c r="I39" s="246">
        <v>23455.125</v>
      </c>
      <c r="J39" s="246"/>
      <c r="K39" s="247">
        <v>5258.4</v>
      </c>
      <c r="L39" s="247">
        <v>5958.9333333333334</v>
      </c>
      <c r="M39" s="247"/>
      <c r="N39" s="246">
        <v>11217.333333333332</v>
      </c>
      <c r="O39" s="328"/>
      <c r="P39" s="247"/>
      <c r="Q39" s="246"/>
      <c r="R39" s="246"/>
      <c r="S39" s="246"/>
      <c r="T39" s="326"/>
      <c r="U39" s="326"/>
      <c r="V39" s="326"/>
      <c r="W39" s="326"/>
      <c r="X39" s="326"/>
      <c r="Y39" s="326"/>
      <c r="Z39" s="326"/>
      <c r="AA39" s="656"/>
      <c r="AB39" s="765"/>
      <c r="AC39" s="765"/>
      <c r="AD39" s="765"/>
      <c r="AE39" s="630"/>
    </row>
    <row r="40" spans="1:31" s="73" customFormat="1">
      <c r="A40" s="249"/>
      <c r="B40" s="325" t="s">
        <v>112</v>
      </c>
      <c r="C40" s="256">
        <v>4.3861570823611109E-3</v>
      </c>
      <c r="D40" s="257">
        <v>0</v>
      </c>
      <c r="E40" s="257">
        <v>0</v>
      </c>
      <c r="F40" s="257">
        <v>4.7411951377805885E-2</v>
      </c>
      <c r="G40" s="257">
        <v>0</v>
      </c>
      <c r="H40" s="257">
        <v>0</v>
      </c>
      <c r="I40" s="256">
        <v>1.1078118354350276E-2</v>
      </c>
      <c r="J40" s="256">
        <v>0</v>
      </c>
      <c r="K40" s="257">
        <v>-3.0352203577355776E-2</v>
      </c>
      <c r="L40" s="257">
        <v>-1.1288154903793575E-2</v>
      </c>
      <c r="M40" s="257">
        <v>0</v>
      </c>
      <c r="N40" s="256">
        <v>-2.0317380836625425E-2</v>
      </c>
      <c r="O40" s="652">
        <v>0</v>
      </c>
      <c r="P40" s="257">
        <v>0</v>
      </c>
      <c r="Q40" s="256">
        <v>0</v>
      </c>
      <c r="R40" s="256">
        <v>0</v>
      </c>
      <c r="S40" s="256">
        <v>0</v>
      </c>
      <c r="T40" s="327">
        <v>0</v>
      </c>
      <c r="U40" s="327">
        <v>0</v>
      </c>
      <c r="V40" s="327">
        <v>0</v>
      </c>
      <c r="W40" s="327">
        <v>0</v>
      </c>
      <c r="X40" s="327">
        <v>0</v>
      </c>
      <c r="Y40" s="327">
        <v>0</v>
      </c>
      <c r="Z40" s="327">
        <v>0</v>
      </c>
      <c r="AA40" s="655">
        <v>0</v>
      </c>
      <c r="AB40" s="766"/>
      <c r="AC40" s="766"/>
      <c r="AD40" s="766"/>
      <c r="AE40" s="630"/>
    </row>
    <row r="41" spans="1:31" s="73" customFormat="1">
      <c r="A41" s="638" t="s">
        <v>163</v>
      </c>
      <c r="B41" s="636" t="s">
        <v>102</v>
      </c>
      <c r="C41" s="633">
        <v>171552.23333333334</v>
      </c>
      <c r="D41" s="637">
        <v>19007.833333333332</v>
      </c>
      <c r="E41" s="637">
        <v>31785.433333333334</v>
      </c>
      <c r="F41" s="637">
        <v>8960.7666666666664</v>
      </c>
      <c r="G41" s="637"/>
      <c r="H41" s="637">
        <v>922.66666666666663</v>
      </c>
      <c r="I41" s="633">
        <v>232228.93333333332</v>
      </c>
      <c r="J41" s="633">
        <v>140113.29999999999</v>
      </c>
      <c r="K41" s="637">
        <v>184099.1</v>
      </c>
      <c r="L41" s="637">
        <v>16144.333333333332</v>
      </c>
      <c r="M41" s="637">
        <v>1861.1666666666665</v>
      </c>
      <c r="N41" s="633">
        <v>342217.9</v>
      </c>
      <c r="O41" s="633"/>
      <c r="P41" s="637"/>
      <c r="Q41" s="633"/>
      <c r="R41" s="633"/>
      <c r="S41" s="633"/>
      <c r="T41" s="645"/>
      <c r="U41" s="645"/>
      <c r="V41" s="645"/>
      <c r="W41" s="645"/>
      <c r="X41" s="645"/>
      <c r="Y41" s="645"/>
      <c r="Z41" s="645"/>
      <c r="AA41" s="653"/>
      <c r="AB41" s="765"/>
      <c r="AC41" s="765"/>
      <c r="AD41" s="765"/>
      <c r="AE41" s="630"/>
    </row>
    <row r="42" spans="1:31" s="73" customFormat="1">
      <c r="A42" s="244"/>
      <c r="B42" s="245" t="s">
        <v>100</v>
      </c>
      <c r="C42" s="246">
        <v>177447.7</v>
      </c>
      <c r="D42" s="247">
        <v>19989.233333333334</v>
      </c>
      <c r="E42" s="247">
        <v>32079.4</v>
      </c>
      <c r="F42" s="247">
        <v>9618.7666666666664</v>
      </c>
      <c r="G42" s="247"/>
      <c r="H42" s="247">
        <v>940.26666666666665</v>
      </c>
      <c r="I42" s="246">
        <v>240075.36666666667</v>
      </c>
      <c r="J42" s="246">
        <v>143650.26666666666</v>
      </c>
      <c r="K42" s="247">
        <v>190091.36666666667</v>
      </c>
      <c r="L42" s="247">
        <v>16191.333333333332</v>
      </c>
      <c r="M42" s="247">
        <v>1795.1333333333332</v>
      </c>
      <c r="N42" s="246">
        <v>351728.1</v>
      </c>
      <c r="O42" s="246"/>
      <c r="P42" s="247"/>
      <c r="Q42" s="246"/>
      <c r="R42" s="246"/>
      <c r="S42" s="246"/>
      <c r="T42" s="326"/>
      <c r="U42" s="326"/>
      <c r="V42" s="326"/>
      <c r="W42" s="326"/>
      <c r="X42" s="326"/>
      <c r="Y42" s="326"/>
      <c r="Z42" s="326"/>
      <c r="AA42" s="654"/>
      <c r="AB42" s="765"/>
      <c r="AC42" s="765"/>
      <c r="AD42" s="765"/>
      <c r="AE42" s="630"/>
    </row>
    <row r="43" spans="1:31" s="73" customFormat="1">
      <c r="A43" s="244"/>
      <c r="B43" s="248" t="s">
        <v>114</v>
      </c>
      <c r="C43" s="256">
        <v>3.436543233576872E-2</v>
      </c>
      <c r="D43" s="257">
        <v>5.1631344971809948E-2</v>
      </c>
      <c r="E43" s="257">
        <v>9.2484712598957953E-3</v>
      </c>
      <c r="F43" s="257">
        <v>7.3431216822965301E-2</v>
      </c>
      <c r="G43" s="257">
        <v>0</v>
      </c>
      <c r="H43" s="257">
        <v>1.9075144508670545E-2</v>
      </c>
      <c r="I43" s="256">
        <v>3.378749245715585E-2</v>
      </c>
      <c r="J43" s="256">
        <v>2.5243618319364933E-2</v>
      </c>
      <c r="K43" s="257">
        <v>3.2549136126502856E-2</v>
      </c>
      <c r="L43" s="257">
        <v>2.9112382053558526E-3</v>
      </c>
      <c r="M43" s="257">
        <v>-3.5479537924241057E-2</v>
      </c>
      <c r="N43" s="256">
        <v>2.7789896437328241E-2</v>
      </c>
      <c r="O43" s="652">
        <v>0</v>
      </c>
      <c r="P43" s="257">
        <v>0</v>
      </c>
      <c r="Q43" s="256">
        <v>0</v>
      </c>
      <c r="R43" s="256">
        <v>0</v>
      </c>
      <c r="S43" s="256">
        <v>0</v>
      </c>
      <c r="T43" s="327">
        <v>0</v>
      </c>
      <c r="U43" s="327">
        <v>0</v>
      </c>
      <c r="V43" s="327">
        <v>0</v>
      </c>
      <c r="W43" s="327">
        <v>0</v>
      </c>
      <c r="X43" s="327">
        <v>0</v>
      </c>
      <c r="Y43" s="327">
        <v>0</v>
      </c>
      <c r="Z43" s="327">
        <v>0</v>
      </c>
      <c r="AA43" s="655">
        <v>0</v>
      </c>
      <c r="AB43" s="766"/>
      <c r="AC43" s="766"/>
      <c r="AD43" s="766"/>
      <c r="AE43" s="630"/>
    </row>
    <row r="44" spans="1:31" s="73" customFormat="1">
      <c r="A44" s="244"/>
      <c r="B44" s="245" t="s">
        <v>98</v>
      </c>
      <c r="C44" s="246">
        <v>0</v>
      </c>
      <c r="D44" s="247">
        <v>0</v>
      </c>
      <c r="E44" s="247">
        <v>0</v>
      </c>
      <c r="F44" s="247">
        <v>0</v>
      </c>
      <c r="G44" s="247"/>
      <c r="H44" s="247">
        <v>0</v>
      </c>
      <c r="I44" s="246">
        <v>0</v>
      </c>
      <c r="J44" s="246">
        <v>19079.333333333336</v>
      </c>
      <c r="K44" s="247">
        <v>11940.693333333333</v>
      </c>
      <c r="L44" s="247">
        <v>2463.7033333333338</v>
      </c>
      <c r="M44" s="247">
        <v>169.26222222222219</v>
      </c>
      <c r="N44" s="246">
        <v>33652.992222222223</v>
      </c>
      <c r="O44" s="328"/>
      <c r="P44" s="247"/>
      <c r="Q44" s="246"/>
      <c r="R44" s="246"/>
      <c r="S44" s="246"/>
      <c r="T44" s="326"/>
      <c r="U44" s="326"/>
      <c r="V44" s="326"/>
      <c r="W44" s="326"/>
      <c r="X44" s="326"/>
      <c r="Y44" s="326"/>
      <c r="Z44" s="326"/>
      <c r="AA44" s="656"/>
      <c r="AB44" s="765"/>
      <c r="AC44" s="765"/>
      <c r="AD44" s="765"/>
      <c r="AE44" s="630"/>
    </row>
    <row r="45" spans="1:31" s="73" customFormat="1">
      <c r="A45" s="244"/>
      <c r="B45" s="245" t="s">
        <v>96</v>
      </c>
      <c r="C45" s="246">
        <v>0</v>
      </c>
      <c r="D45" s="247">
        <v>0</v>
      </c>
      <c r="E45" s="247">
        <v>0</v>
      </c>
      <c r="F45" s="247">
        <v>0</v>
      </c>
      <c r="G45" s="247"/>
      <c r="H45" s="247">
        <v>0</v>
      </c>
      <c r="I45" s="246">
        <v>0</v>
      </c>
      <c r="J45" s="246">
        <v>14118.404444444446</v>
      </c>
      <c r="K45" s="247">
        <v>10012.414444444443</v>
      </c>
      <c r="L45" s="247">
        <v>1927.6377777777777</v>
      </c>
      <c r="M45" s="247">
        <v>153.69222222222223</v>
      </c>
      <c r="N45" s="246">
        <v>26212.148888888893</v>
      </c>
      <c r="O45" s="328"/>
      <c r="P45" s="247"/>
      <c r="Q45" s="246"/>
      <c r="R45" s="246"/>
      <c r="S45" s="246"/>
      <c r="T45" s="326"/>
      <c r="U45" s="326"/>
      <c r="V45" s="326"/>
      <c r="W45" s="326"/>
      <c r="X45" s="326"/>
      <c r="Y45" s="326"/>
      <c r="Z45" s="326"/>
      <c r="AA45" s="656"/>
      <c r="AB45" s="765"/>
      <c r="AC45" s="765"/>
      <c r="AD45" s="765"/>
      <c r="AE45" s="630"/>
    </row>
    <row r="46" spans="1:31" s="73" customFormat="1">
      <c r="A46" s="244"/>
      <c r="B46" s="248" t="s">
        <v>116</v>
      </c>
      <c r="C46" s="256">
        <v>0</v>
      </c>
      <c r="D46" s="257">
        <v>0</v>
      </c>
      <c r="E46" s="257">
        <v>0</v>
      </c>
      <c r="F46" s="257">
        <v>0</v>
      </c>
      <c r="G46" s="257">
        <v>0</v>
      </c>
      <c r="H46" s="257">
        <v>0</v>
      </c>
      <c r="I46" s="256">
        <v>0</v>
      </c>
      <c r="J46" s="665">
        <v>-0.26001584029257951</v>
      </c>
      <c r="K46" s="663">
        <v>-0.16148801707401328</v>
      </c>
      <c r="L46" s="663">
        <v>-0.21758527023230179</v>
      </c>
      <c r="M46" s="257">
        <v>-9.1987448797395038E-2</v>
      </c>
      <c r="N46" s="256">
        <v>-0.22110495507201558</v>
      </c>
      <c r="O46" s="652">
        <v>0</v>
      </c>
      <c r="P46" s="257">
        <v>0</v>
      </c>
      <c r="Q46" s="256">
        <v>0</v>
      </c>
      <c r="R46" s="256">
        <v>0</v>
      </c>
      <c r="S46" s="256">
        <v>0</v>
      </c>
      <c r="T46" s="327">
        <v>0</v>
      </c>
      <c r="U46" s="327">
        <v>0</v>
      </c>
      <c r="V46" s="327">
        <v>0</v>
      </c>
      <c r="W46" s="327">
        <v>0</v>
      </c>
      <c r="X46" s="327">
        <v>0</v>
      </c>
      <c r="Y46" s="327">
        <v>0</v>
      </c>
      <c r="Z46" s="327">
        <v>0</v>
      </c>
      <c r="AA46" s="655">
        <v>0</v>
      </c>
      <c r="AB46" s="766"/>
      <c r="AC46" s="766"/>
      <c r="AD46" s="766"/>
      <c r="AE46" s="630"/>
    </row>
    <row r="47" spans="1:31" s="73" customFormat="1">
      <c r="A47" s="244"/>
      <c r="B47" s="245" t="s">
        <v>104</v>
      </c>
      <c r="C47" s="246">
        <v>43555.916666666672</v>
      </c>
      <c r="D47" s="247">
        <v>3367.4583333333335</v>
      </c>
      <c r="E47" s="247">
        <v>4760.083333333333</v>
      </c>
      <c r="F47" s="247">
        <v>1003.25</v>
      </c>
      <c r="G47" s="247"/>
      <c r="H47" s="247">
        <v>0</v>
      </c>
      <c r="I47" s="246">
        <v>52686.708333333343</v>
      </c>
      <c r="J47" s="246">
        <v>0</v>
      </c>
      <c r="K47" s="247">
        <v>0</v>
      </c>
      <c r="L47" s="247">
        <v>0</v>
      </c>
      <c r="M47" s="247">
        <v>0</v>
      </c>
      <c r="N47" s="246">
        <v>0</v>
      </c>
      <c r="O47" s="328"/>
      <c r="P47" s="247"/>
      <c r="Q47" s="246"/>
      <c r="R47" s="246"/>
      <c r="S47" s="246"/>
      <c r="T47" s="326"/>
      <c r="U47" s="326"/>
      <c r="V47" s="326"/>
      <c r="W47" s="326"/>
      <c r="X47" s="326"/>
      <c r="Y47" s="326"/>
      <c r="Z47" s="326"/>
      <c r="AA47" s="656"/>
      <c r="AB47" s="765"/>
      <c r="AC47" s="765"/>
      <c r="AD47" s="765"/>
      <c r="AE47" s="630"/>
    </row>
    <row r="48" spans="1:31" s="73" customFormat="1">
      <c r="A48" s="244"/>
      <c r="B48" s="245" t="s">
        <v>106</v>
      </c>
      <c r="C48" s="246">
        <v>43996.791666666672</v>
      </c>
      <c r="D48" s="247">
        <v>3273.25</v>
      </c>
      <c r="E48" s="247">
        <v>4774.5</v>
      </c>
      <c r="F48" s="247">
        <v>998.45833333333337</v>
      </c>
      <c r="G48" s="247"/>
      <c r="H48" s="247">
        <v>0</v>
      </c>
      <c r="I48" s="246">
        <v>53043.000000000007</v>
      </c>
      <c r="J48" s="246">
        <v>0</v>
      </c>
      <c r="K48" s="247">
        <v>0</v>
      </c>
      <c r="L48" s="247">
        <v>0</v>
      </c>
      <c r="M48" s="247">
        <v>0</v>
      </c>
      <c r="N48" s="246">
        <v>0</v>
      </c>
      <c r="O48" s="328"/>
      <c r="P48" s="247"/>
      <c r="Q48" s="246"/>
      <c r="R48" s="246"/>
      <c r="S48" s="246"/>
      <c r="T48" s="326"/>
      <c r="U48" s="326"/>
      <c r="V48" s="326"/>
      <c r="W48" s="326"/>
      <c r="X48" s="326"/>
      <c r="Y48" s="326"/>
      <c r="Z48" s="326"/>
      <c r="AA48" s="656"/>
      <c r="AB48" s="765"/>
      <c r="AC48" s="765"/>
      <c r="AD48" s="765"/>
      <c r="AE48" s="630"/>
    </row>
    <row r="49" spans="1:31" s="73" customFormat="1">
      <c r="A49" s="244"/>
      <c r="B49" s="248" t="s">
        <v>108</v>
      </c>
      <c r="C49" s="256">
        <v>1.0122046182015072E-2</v>
      </c>
      <c r="D49" s="663">
        <v>-2.7976094730199626E-2</v>
      </c>
      <c r="E49" s="257">
        <v>3.028658461861726E-3</v>
      </c>
      <c r="F49" s="257">
        <v>-4.7761441980230541E-3</v>
      </c>
      <c r="G49" s="257">
        <v>0</v>
      </c>
      <c r="H49" s="257">
        <v>0</v>
      </c>
      <c r="I49" s="256">
        <v>6.7624582733943339E-3</v>
      </c>
      <c r="J49" s="256">
        <v>0</v>
      </c>
      <c r="K49" s="257">
        <v>0</v>
      </c>
      <c r="L49" s="257">
        <v>0</v>
      </c>
      <c r="M49" s="257">
        <v>0</v>
      </c>
      <c r="N49" s="256">
        <v>0</v>
      </c>
      <c r="O49" s="652">
        <v>0</v>
      </c>
      <c r="P49" s="257">
        <v>0</v>
      </c>
      <c r="Q49" s="256">
        <v>0</v>
      </c>
      <c r="R49" s="256">
        <v>0</v>
      </c>
      <c r="S49" s="256">
        <v>0</v>
      </c>
      <c r="T49" s="327">
        <v>0</v>
      </c>
      <c r="U49" s="327">
        <v>0</v>
      </c>
      <c r="V49" s="327">
        <v>0</v>
      </c>
      <c r="W49" s="327">
        <v>0</v>
      </c>
      <c r="X49" s="327">
        <v>0</v>
      </c>
      <c r="Y49" s="327">
        <v>0</v>
      </c>
      <c r="Z49" s="327">
        <v>0</v>
      </c>
      <c r="AA49" s="655">
        <v>0</v>
      </c>
      <c r="AB49" s="766"/>
      <c r="AC49" s="766"/>
      <c r="AD49" s="766"/>
      <c r="AE49" s="630"/>
    </row>
    <row r="50" spans="1:31" s="73" customFormat="1">
      <c r="A50" s="244"/>
      <c r="B50" s="245" t="s">
        <v>9</v>
      </c>
      <c r="C50" s="246">
        <v>215108.15</v>
      </c>
      <c r="D50" s="247">
        <v>22375.291666666664</v>
      </c>
      <c r="E50" s="247">
        <v>36545.51666666667</v>
      </c>
      <c r="F50" s="247">
        <v>9964.0166666666664</v>
      </c>
      <c r="G50" s="247"/>
      <c r="H50" s="247">
        <v>922.66666666666663</v>
      </c>
      <c r="I50" s="246">
        <v>284915.64166666666</v>
      </c>
      <c r="J50" s="246">
        <v>159192.6333333333</v>
      </c>
      <c r="K50" s="247">
        <v>196039.79333333333</v>
      </c>
      <c r="L50" s="247">
        <v>18608.036666666667</v>
      </c>
      <c r="M50" s="247">
        <v>2030.4288888888889</v>
      </c>
      <c r="N50" s="246">
        <v>375870.89222222223</v>
      </c>
      <c r="O50" s="328"/>
      <c r="P50" s="247"/>
      <c r="Q50" s="246"/>
      <c r="R50" s="246"/>
      <c r="S50" s="246"/>
      <c r="T50" s="326"/>
      <c r="U50" s="326"/>
      <c r="V50" s="326"/>
      <c r="W50" s="326"/>
      <c r="X50" s="326"/>
      <c r="Y50" s="326"/>
      <c r="Z50" s="326"/>
      <c r="AA50" s="656"/>
      <c r="AB50" s="765"/>
      <c r="AC50" s="765"/>
      <c r="AD50" s="765"/>
      <c r="AE50" s="630"/>
    </row>
    <row r="51" spans="1:31" s="73" customFormat="1">
      <c r="A51" s="244"/>
      <c r="B51" s="245" t="s">
        <v>110</v>
      </c>
      <c r="C51" s="246">
        <v>221444.49166666664</v>
      </c>
      <c r="D51" s="247">
        <v>23262.483333333334</v>
      </c>
      <c r="E51" s="247">
        <v>36853.9</v>
      </c>
      <c r="F51" s="247">
        <v>10617.225</v>
      </c>
      <c r="G51" s="247"/>
      <c r="H51" s="247">
        <v>940.26666666666665</v>
      </c>
      <c r="I51" s="246">
        <v>293118.36666666664</v>
      </c>
      <c r="J51" s="246">
        <v>157768.67111111109</v>
      </c>
      <c r="K51" s="247">
        <v>200103.78111111111</v>
      </c>
      <c r="L51" s="247">
        <v>18118.971111111114</v>
      </c>
      <c r="M51" s="247">
        <v>1948.8255555555556</v>
      </c>
      <c r="N51" s="246">
        <v>377940.24888888892</v>
      </c>
      <c r="O51" s="328"/>
      <c r="P51" s="247"/>
      <c r="Q51" s="246"/>
      <c r="R51" s="246"/>
      <c r="S51" s="246"/>
      <c r="T51" s="326"/>
      <c r="U51" s="326"/>
      <c r="V51" s="326"/>
      <c r="W51" s="326"/>
      <c r="X51" s="326"/>
      <c r="Y51" s="326"/>
      <c r="Z51" s="326"/>
      <c r="AA51" s="656"/>
      <c r="AB51" s="765"/>
      <c r="AC51" s="765"/>
      <c r="AD51" s="765"/>
      <c r="AE51" s="630"/>
    </row>
    <row r="52" spans="1:31" s="73" customFormat="1">
      <c r="A52" s="249"/>
      <c r="B52" s="325" t="s">
        <v>112</v>
      </c>
      <c r="C52" s="256">
        <v>2.9456539264861168E-2</v>
      </c>
      <c r="D52" s="257">
        <v>3.965050734906634E-2</v>
      </c>
      <c r="E52" s="257">
        <v>8.438335573310125E-3</v>
      </c>
      <c r="F52" s="257">
        <v>6.5556728293977892E-2</v>
      </c>
      <c r="G52" s="257">
        <v>0</v>
      </c>
      <c r="H52" s="257">
        <v>1.9075144508670545E-2</v>
      </c>
      <c r="I52" s="256">
        <v>2.8790012903526889E-2</v>
      </c>
      <c r="J52" s="256">
        <v>-8.9449002281442036E-3</v>
      </c>
      <c r="K52" s="257">
        <v>2.0730422679377303E-2</v>
      </c>
      <c r="L52" s="257">
        <v>-2.6282490964328126E-2</v>
      </c>
      <c r="M52" s="257">
        <v>-4.0190195174965727E-2</v>
      </c>
      <c r="N52" s="256">
        <v>5.5054985887100444E-3</v>
      </c>
      <c r="O52" s="652">
        <v>0</v>
      </c>
      <c r="P52" s="257">
        <v>0</v>
      </c>
      <c r="Q52" s="256">
        <v>0</v>
      </c>
      <c r="R52" s="256">
        <v>0</v>
      </c>
      <c r="S52" s="256">
        <v>0</v>
      </c>
      <c r="T52" s="327">
        <v>0</v>
      </c>
      <c r="U52" s="327">
        <v>0</v>
      </c>
      <c r="V52" s="327">
        <v>0</v>
      </c>
      <c r="W52" s="327">
        <v>0</v>
      </c>
      <c r="X52" s="327">
        <v>0</v>
      </c>
      <c r="Y52" s="327">
        <v>0</v>
      </c>
      <c r="Z52" s="327">
        <v>0</v>
      </c>
      <c r="AA52" s="655">
        <v>0</v>
      </c>
      <c r="AB52" s="766"/>
      <c r="AC52" s="766"/>
      <c r="AD52" s="766"/>
      <c r="AE52" s="630"/>
    </row>
    <row r="53" spans="1:31" s="73" customFormat="1">
      <c r="A53" s="638" t="s">
        <v>158</v>
      </c>
      <c r="B53" s="636" t="s">
        <v>102</v>
      </c>
      <c r="C53" s="633">
        <v>46498.966666666667</v>
      </c>
      <c r="D53" s="637">
        <v>13641.266666666666</v>
      </c>
      <c r="E53" s="637">
        <v>35672.800000000003</v>
      </c>
      <c r="F53" s="637">
        <v>41072.656666666669</v>
      </c>
      <c r="G53" s="637">
        <v>25367.466666666667</v>
      </c>
      <c r="H53" s="637">
        <v>8950.4</v>
      </c>
      <c r="I53" s="633">
        <v>171203.55666666667</v>
      </c>
      <c r="J53" s="633">
        <v>15733.666666666668</v>
      </c>
      <c r="K53" s="637">
        <v>19360.133333333335</v>
      </c>
      <c r="L53" s="637">
        <v>25993.766666666666</v>
      </c>
      <c r="M53" s="637">
        <v>2799.1</v>
      </c>
      <c r="N53" s="633">
        <v>63886.666666666664</v>
      </c>
      <c r="O53" s="633"/>
      <c r="P53" s="637"/>
      <c r="Q53" s="633">
        <v>103051.67899299996</v>
      </c>
      <c r="R53" s="633"/>
      <c r="S53" s="633">
        <v>103051.67899299996</v>
      </c>
      <c r="T53" s="645"/>
      <c r="U53" s="645"/>
      <c r="V53" s="645"/>
      <c r="W53" s="645"/>
      <c r="X53" s="645"/>
      <c r="Y53" s="645"/>
      <c r="Z53" s="645"/>
      <c r="AA53" s="653"/>
      <c r="AB53" s="765"/>
      <c r="AC53" s="765"/>
      <c r="AD53" s="765"/>
      <c r="AE53" s="630"/>
    </row>
    <row r="54" spans="1:31" s="73" customFormat="1">
      <c r="A54" s="244"/>
      <c r="B54" s="245" t="s">
        <v>100</v>
      </c>
      <c r="C54" s="246">
        <v>46655.236666666664</v>
      </c>
      <c r="D54" s="247">
        <v>13747.5</v>
      </c>
      <c r="E54" s="247">
        <v>36145.98333333333</v>
      </c>
      <c r="F54" s="247">
        <v>41607.43</v>
      </c>
      <c r="G54" s="247">
        <v>25775.533333333329</v>
      </c>
      <c r="H54" s="247">
        <v>10833.400000000001</v>
      </c>
      <c r="I54" s="246">
        <v>174765.08333333331</v>
      </c>
      <c r="J54" s="246">
        <v>15149.266666666666</v>
      </c>
      <c r="K54" s="247">
        <v>20341.233333333334</v>
      </c>
      <c r="L54" s="247">
        <v>26135.266666666663</v>
      </c>
      <c r="M54" s="247">
        <v>2721.1666666666665</v>
      </c>
      <c r="N54" s="246">
        <v>64346.933333333327</v>
      </c>
      <c r="O54" s="246"/>
      <c r="P54" s="247"/>
      <c r="Q54" s="246">
        <v>96674.833333333328</v>
      </c>
      <c r="R54" s="246"/>
      <c r="S54" s="246">
        <v>96674.833333333328</v>
      </c>
      <c r="T54" s="326"/>
      <c r="U54" s="326"/>
      <c r="V54" s="326"/>
      <c r="W54" s="326"/>
      <c r="X54" s="326"/>
      <c r="Y54" s="326"/>
      <c r="Z54" s="326"/>
      <c r="AA54" s="654"/>
      <c r="AB54" s="765"/>
      <c r="AC54" s="765"/>
      <c r="AD54" s="765"/>
      <c r="AE54" s="630"/>
    </row>
    <row r="55" spans="1:31" s="73" customFormat="1">
      <c r="A55" s="244"/>
      <c r="B55" s="248" t="s">
        <v>114</v>
      </c>
      <c r="C55" s="256">
        <v>3.3607198439534526E-3</v>
      </c>
      <c r="D55" s="257">
        <v>7.7876443536524162E-3</v>
      </c>
      <c r="E55" s="257">
        <v>1.3264541424652032E-2</v>
      </c>
      <c r="F55" s="257">
        <v>1.302017879372621E-2</v>
      </c>
      <c r="G55" s="257">
        <v>1.6086220671095604E-2</v>
      </c>
      <c r="H55" s="663">
        <v>0.21038165892027194</v>
      </c>
      <c r="I55" s="256">
        <v>2.0802877790681445E-2</v>
      </c>
      <c r="J55" s="665">
        <v>-3.7143280862693674E-2</v>
      </c>
      <c r="K55" s="257">
        <v>5.0676303882204586E-2</v>
      </c>
      <c r="L55" s="257">
        <v>5.4436127635726656E-3</v>
      </c>
      <c r="M55" s="257">
        <v>-2.784228263846715E-2</v>
      </c>
      <c r="N55" s="256">
        <v>7.204424501721738E-3</v>
      </c>
      <c r="O55" s="652">
        <v>0</v>
      </c>
      <c r="P55" s="257">
        <v>0</v>
      </c>
      <c r="Q55" s="256">
        <v>-6.1880075336761854E-2</v>
      </c>
      <c r="R55" s="256">
        <v>0</v>
      </c>
      <c r="S55" s="256">
        <v>-6.1880075336761854E-2</v>
      </c>
      <c r="T55" s="327">
        <v>0</v>
      </c>
      <c r="U55" s="327">
        <v>0</v>
      </c>
      <c r="V55" s="327">
        <v>0</v>
      </c>
      <c r="W55" s="327">
        <v>0</v>
      </c>
      <c r="X55" s="327">
        <v>0</v>
      </c>
      <c r="Y55" s="327">
        <v>0</v>
      </c>
      <c r="Z55" s="327">
        <v>0</v>
      </c>
      <c r="AA55" s="655">
        <v>0</v>
      </c>
      <c r="AB55" s="766"/>
      <c r="AC55" s="766"/>
      <c r="AD55" s="766"/>
      <c r="AE55" s="630"/>
    </row>
    <row r="56" spans="1:31" s="73" customFormat="1">
      <c r="A56" s="244"/>
      <c r="B56" s="245" t="s">
        <v>98</v>
      </c>
      <c r="C56" s="246">
        <v>0</v>
      </c>
      <c r="D56" s="247">
        <v>0</v>
      </c>
      <c r="E56" s="247">
        <v>0</v>
      </c>
      <c r="F56" s="247">
        <v>0</v>
      </c>
      <c r="G56" s="247">
        <v>0</v>
      </c>
      <c r="H56" s="247">
        <v>0</v>
      </c>
      <c r="I56" s="246">
        <v>0</v>
      </c>
      <c r="J56" s="246">
        <v>0</v>
      </c>
      <c r="K56" s="247">
        <v>0</v>
      </c>
      <c r="L56" s="247">
        <v>0</v>
      </c>
      <c r="M56" s="247">
        <v>0</v>
      </c>
      <c r="N56" s="246">
        <v>0</v>
      </c>
      <c r="O56" s="328"/>
      <c r="P56" s="247"/>
      <c r="Q56" s="246">
        <v>0</v>
      </c>
      <c r="R56" s="246"/>
      <c r="S56" s="246">
        <v>0</v>
      </c>
      <c r="T56" s="326"/>
      <c r="U56" s="326"/>
      <c r="V56" s="326"/>
      <c r="W56" s="326"/>
      <c r="X56" s="326"/>
      <c r="Y56" s="326"/>
      <c r="Z56" s="326"/>
      <c r="AA56" s="656"/>
      <c r="AB56" s="765"/>
      <c r="AC56" s="765"/>
      <c r="AD56" s="765"/>
      <c r="AE56" s="630"/>
    </row>
    <row r="57" spans="1:31" s="73" customFormat="1">
      <c r="A57" s="244"/>
      <c r="B57" s="245" t="s">
        <v>96</v>
      </c>
      <c r="C57" s="246">
        <v>0</v>
      </c>
      <c r="D57" s="247">
        <v>0</v>
      </c>
      <c r="E57" s="247">
        <v>0</v>
      </c>
      <c r="F57" s="247">
        <v>0</v>
      </c>
      <c r="G57" s="247">
        <v>0</v>
      </c>
      <c r="H57" s="247">
        <v>0</v>
      </c>
      <c r="I57" s="246">
        <v>0</v>
      </c>
      <c r="J57" s="246">
        <v>0</v>
      </c>
      <c r="K57" s="247">
        <v>0</v>
      </c>
      <c r="L57" s="247">
        <v>0</v>
      </c>
      <c r="M57" s="247">
        <v>0</v>
      </c>
      <c r="N57" s="246">
        <v>0</v>
      </c>
      <c r="O57" s="328"/>
      <c r="P57" s="247"/>
      <c r="Q57" s="246">
        <v>0</v>
      </c>
      <c r="R57" s="246"/>
      <c r="S57" s="246">
        <v>0</v>
      </c>
      <c r="T57" s="326"/>
      <c r="U57" s="326"/>
      <c r="V57" s="326"/>
      <c r="W57" s="326"/>
      <c r="X57" s="326"/>
      <c r="Y57" s="326"/>
      <c r="Z57" s="326"/>
      <c r="AA57" s="656"/>
      <c r="AB57" s="765"/>
      <c r="AC57" s="765"/>
      <c r="AD57" s="765"/>
      <c r="AE57" s="630"/>
    </row>
    <row r="58" spans="1:31" s="73" customFormat="1">
      <c r="A58" s="244"/>
      <c r="B58" s="248" t="s">
        <v>116</v>
      </c>
      <c r="C58" s="256">
        <v>0</v>
      </c>
      <c r="D58" s="257">
        <v>0</v>
      </c>
      <c r="E58" s="257">
        <v>0</v>
      </c>
      <c r="F58" s="257">
        <v>0</v>
      </c>
      <c r="G58" s="257">
        <v>0</v>
      </c>
      <c r="H58" s="257">
        <v>0</v>
      </c>
      <c r="I58" s="256">
        <v>0</v>
      </c>
      <c r="J58" s="256">
        <v>0</v>
      </c>
      <c r="K58" s="257">
        <v>0</v>
      </c>
      <c r="L58" s="257">
        <v>0</v>
      </c>
      <c r="M58" s="257">
        <v>0</v>
      </c>
      <c r="N58" s="256">
        <v>0</v>
      </c>
      <c r="O58" s="652">
        <v>0</v>
      </c>
      <c r="P58" s="257">
        <v>0</v>
      </c>
      <c r="Q58" s="256">
        <v>0</v>
      </c>
      <c r="R58" s="256">
        <v>0</v>
      </c>
      <c r="S58" s="256">
        <v>0</v>
      </c>
      <c r="T58" s="327">
        <v>0</v>
      </c>
      <c r="U58" s="327">
        <v>0</v>
      </c>
      <c r="V58" s="327">
        <v>0</v>
      </c>
      <c r="W58" s="327">
        <v>0</v>
      </c>
      <c r="X58" s="327">
        <v>0</v>
      </c>
      <c r="Y58" s="327">
        <v>0</v>
      </c>
      <c r="Z58" s="327">
        <v>0</v>
      </c>
      <c r="AA58" s="655">
        <v>0</v>
      </c>
      <c r="AB58" s="766"/>
      <c r="AC58" s="766"/>
      <c r="AD58" s="766"/>
      <c r="AE58" s="630"/>
    </row>
    <row r="59" spans="1:31" s="73" customFormat="1">
      <c r="A59" s="244"/>
      <c r="B59" s="245" t="s">
        <v>104</v>
      </c>
      <c r="C59" s="246">
        <v>19422.833333333332</v>
      </c>
      <c r="D59" s="247">
        <v>9661.3125</v>
      </c>
      <c r="E59" s="247">
        <v>4561.5416666666661</v>
      </c>
      <c r="F59" s="247">
        <v>4282.041666666667</v>
      </c>
      <c r="G59" s="247">
        <v>1886.4583333333333</v>
      </c>
      <c r="H59" s="247">
        <v>0</v>
      </c>
      <c r="I59" s="246">
        <v>39814.1875</v>
      </c>
      <c r="J59" s="246">
        <v>0</v>
      </c>
      <c r="K59" s="247">
        <v>0</v>
      </c>
      <c r="L59" s="247">
        <v>0</v>
      </c>
      <c r="M59" s="247">
        <v>0</v>
      </c>
      <c r="N59" s="246">
        <v>0</v>
      </c>
      <c r="O59" s="328"/>
      <c r="P59" s="247"/>
      <c r="Q59" s="246">
        <v>0</v>
      </c>
      <c r="R59" s="246"/>
      <c r="S59" s="246">
        <v>0</v>
      </c>
      <c r="T59" s="326"/>
      <c r="U59" s="326"/>
      <c r="V59" s="326"/>
      <c r="W59" s="326"/>
      <c r="X59" s="326"/>
      <c r="Y59" s="326"/>
      <c r="Z59" s="326"/>
      <c r="AA59" s="656"/>
      <c r="AB59" s="765"/>
      <c r="AC59" s="765"/>
      <c r="AD59" s="765"/>
      <c r="AE59" s="630"/>
    </row>
    <row r="60" spans="1:31" s="73" customFormat="1">
      <c r="A60" s="244"/>
      <c r="B60" s="245" t="s">
        <v>106</v>
      </c>
      <c r="C60" s="246">
        <v>19576.395833333336</v>
      </c>
      <c r="D60" s="247">
        <v>9785</v>
      </c>
      <c r="E60" s="247">
        <v>4761.9583333333339</v>
      </c>
      <c r="F60" s="247">
        <v>4083.270833333333</v>
      </c>
      <c r="G60" s="247">
        <v>1874.8333333333333</v>
      </c>
      <c r="H60" s="247">
        <v>0</v>
      </c>
      <c r="I60" s="246">
        <v>40081.458333333343</v>
      </c>
      <c r="J60" s="246">
        <v>0</v>
      </c>
      <c r="K60" s="247">
        <v>0</v>
      </c>
      <c r="L60" s="247">
        <v>0</v>
      </c>
      <c r="M60" s="247">
        <v>0</v>
      </c>
      <c r="N60" s="246">
        <v>0</v>
      </c>
      <c r="O60" s="328"/>
      <c r="P60" s="247"/>
      <c r="Q60" s="246">
        <v>0</v>
      </c>
      <c r="R60" s="246"/>
      <c r="S60" s="246">
        <v>0</v>
      </c>
      <c r="T60" s="326"/>
      <c r="U60" s="326"/>
      <c r="V60" s="326"/>
      <c r="W60" s="326"/>
      <c r="X60" s="326"/>
      <c r="Y60" s="326"/>
      <c r="Z60" s="326"/>
      <c r="AA60" s="656"/>
      <c r="AB60" s="765"/>
      <c r="AC60" s="765"/>
      <c r="AD60" s="765"/>
      <c r="AE60" s="630"/>
    </row>
    <row r="61" spans="1:31" s="73" customFormat="1">
      <c r="A61" s="244"/>
      <c r="B61" s="248" t="s">
        <v>108</v>
      </c>
      <c r="C61" s="256">
        <v>7.9062872735699546E-3</v>
      </c>
      <c r="D61" s="257">
        <v>1.2802349577244293E-2</v>
      </c>
      <c r="E61" s="257">
        <v>4.393616924102807E-2</v>
      </c>
      <c r="F61" s="663">
        <v>-4.6419640163862783E-2</v>
      </c>
      <c r="G61" s="257">
        <v>-6.1623412479293212E-3</v>
      </c>
      <c r="H61" s="257">
        <v>0</v>
      </c>
      <c r="I61" s="256">
        <v>6.7129546052728355E-3</v>
      </c>
      <c r="J61" s="256">
        <v>0</v>
      </c>
      <c r="K61" s="257">
        <v>0</v>
      </c>
      <c r="L61" s="257">
        <v>0</v>
      </c>
      <c r="M61" s="257">
        <v>0</v>
      </c>
      <c r="N61" s="256">
        <v>0</v>
      </c>
      <c r="O61" s="652">
        <v>0</v>
      </c>
      <c r="P61" s="257">
        <v>0</v>
      </c>
      <c r="Q61" s="256">
        <v>0</v>
      </c>
      <c r="R61" s="256">
        <v>0</v>
      </c>
      <c r="S61" s="256">
        <v>0</v>
      </c>
      <c r="T61" s="327">
        <v>0</v>
      </c>
      <c r="U61" s="327">
        <v>0</v>
      </c>
      <c r="V61" s="327">
        <v>0</v>
      </c>
      <c r="W61" s="327">
        <v>0</v>
      </c>
      <c r="X61" s="327">
        <v>0</v>
      </c>
      <c r="Y61" s="327">
        <v>0</v>
      </c>
      <c r="Z61" s="327">
        <v>0</v>
      </c>
      <c r="AA61" s="655">
        <v>0</v>
      </c>
      <c r="AB61" s="766"/>
      <c r="AC61" s="766"/>
      <c r="AD61" s="766"/>
      <c r="AE61" s="630"/>
    </row>
    <row r="62" spans="1:31" s="73" customFormat="1">
      <c r="A62" s="244"/>
      <c r="B62" s="245" t="s">
        <v>9</v>
      </c>
      <c r="C62" s="246">
        <v>65921.8</v>
      </c>
      <c r="D62" s="247">
        <v>23302.579166666666</v>
      </c>
      <c r="E62" s="247">
        <v>40234.341666666667</v>
      </c>
      <c r="F62" s="247">
        <v>45354.698333333334</v>
      </c>
      <c r="G62" s="247">
        <v>27253.924999999999</v>
      </c>
      <c r="H62" s="247">
        <v>8950.4</v>
      </c>
      <c r="I62" s="246">
        <v>211017.74416666664</v>
      </c>
      <c r="J62" s="246">
        <v>15733.666666666668</v>
      </c>
      <c r="K62" s="247">
        <v>19360.133333333335</v>
      </c>
      <c r="L62" s="247">
        <v>25993.766666666666</v>
      </c>
      <c r="M62" s="247">
        <v>2799.1</v>
      </c>
      <c r="N62" s="246">
        <v>63886.666666666664</v>
      </c>
      <c r="O62" s="328"/>
      <c r="P62" s="247"/>
      <c r="Q62" s="246">
        <v>103051.67899299996</v>
      </c>
      <c r="R62" s="246"/>
      <c r="S62" s="246">
        <v>103051.67899299996</v>
      </c>
      <c r="T62" s="326"/>
      <c r="U62" s="326"/>
      <c r="V62" s="326"/>
      <c r="W62" s="326"/>
      <c r="X62" s="326"/>
      <c r="Y62" s="326"/>
      <c r="Z62" s="326"/>
      <c r="AA62" s="656"/>
      <c r="AB62" s="765"/>
      <c r="AC62" s="765"/>
      <c r="AD62" s="765"/>
      <c r="AE62" s="630"/>
    </row>
    <row r="63" spans="1:31" s="73" customFormat="1">
      <c r="A63" s="244"/>
      <c r="B63" s="245" t="s">
        <v>110</v>
      </c>
      <c r="C63" s="246">
        <v>66231.632500000007</v>
      </c>
      <c r="D63" s="247">
        <v>23532.5</v>
      </c>
      <c r="E63" s="247">
        <v>40907.941666666666</v>
      </c>
      <c r="F63" s="247">
        <v>45690.700833333336</v>
      </c>
      <c r="G63" s="247">
        <v>27650.366666666665</v>
      </c>
      <c r="H63" s="247">
        <v>10833.400000000001</v>
      </c>
      <c r="I63" s="246">
        <v>214846.54166666669</v>
      </c>
      <c r="J63" s="246">
        <v>15149.266666666666</v>
      </c>
      <c r="K63" s="247">
        <v>20341.233333333334</v>
      </c>
      <c r="L63" s="247">
        <v>26135.266666666663</v>
      </c>
      <c r="M63" s="247">
        <v>2721.1666666666665</v>
      </c>
      <c r="N63" s="246">
        <v>64346.933333333327</v>
      </c>
      <c r="O63" s="328"/>
      <c r="P63" s="247"/>
      <c r="Q63" s="246">
        <v>96674.833333333328</v>
      </c>
      <c r="R63" s="246"/>
      <c r="S63" s="246">
        <v>96674.833333333328</v>
      </c>
      <c r="T63" s="326"/>
      <c r="U63" s="326"/>
      <c r="V63" s="326"/>
      <c r="W63" s="326"/>
      <c r="X63" s="326"/>
      <c r="Y63" s="326"/>
      <c r="Z63" s="326"/>
      <c r="AA63" s="656"/>
      <c r="AB63" s="765"/>
      <c r="AC63" s="765"/>
      <c r="AD63" s="765"/>
      <c r="AE63" s="630"/>
    </row>
    <row r="64" spans="1:31" s="73" customFormat="1">
      <c r="A64" s="249"/>
      <c r="B64" s="325" t="s">
        <v>112</v>
      </c>
      <c r="C64" s="256">
        <v>4.7000006067796094E-3</v>
      </c>
      <c r="D64" s="257">
        <v>9.8667547351250027E-3</v>
      </c>
      <c r="E64" s="257">
        <v>1.6741916782947203E-2</v>
      </c>
      <c r="F64" s="257">
        <v>7.4083284058149724E-3</v>
      </c>
      <c r="G64" s="257">
        <v>1.4546222852916258E-2</v>
      </c>
      <c r="H64" s="257">
        <v>0.21038165892027194</v>
      </c>
      <c r="I64" s="256">
        <v>1.8144433849013059E-2</v>
      </c>
      <c r="J64" s="256">
        <v>-3.7143280862693674E-2</v>
      </c>
      <c r="K64" s="257">
        <v>5.0676303882204586E-2</v>
      </c>
      <c r="L64" s="257">
        <v>5.4436127635726656E-3</v>
      </c>
      <c r="M64" s="257">
        <v>-2.784228263846715E-2</v>
      </c>
      <c r="N64" s="256">
        <v>7.204424501721738E-3</v>
      </c>
      <c r="O64" s="652">
        <v>0</v>
      </c>
      <c r="P64" s="257">
        <v>0</v>
      </c>
      <c r="Q64" s="256">
        <v>-6.1880075336761854E-2</v>
      </c>
      <c r="R64" s="256">
        <v>0</v>
      </c>
      <c r="S64" s="256">
        <v>-6.1880075336761854E-2</v>
      </c>
      <c r="T64" s="327">
        <v>0</v>
      </c>
      <c r="U64" s="327">
        <v>0</v>
      </c>
      <c r="V64" s="327">
        <v>0</v>
      </c>
      <c r="W64" s="327">
        <v>0</v>
      </c>
      <c r="X64" s="327">
        <v>0</v>
      </c>
      <c r="Y64" s="327">
        <v>0</v>
      </c>
      <c r="Z64" s="327">
        <v>0</v>
      </c>
      <c r="AA64" s="655">
        <v>0</v>
      </c>
      <c r="AB64" s="766"/>
      <c r="AC64" s="766"/>
      <c r="AD64" s="766"/>
      <c r="AE64" s="630"/>
    </row>
    <row r="65" spans="1:31" s="73" customFormat="1">
      <c r="A65" s="638" t="s">
        <v>29</v>
      </c>
      <c r="B65" s="636" t="s">
        <v>102</v>
      </c>
      <c r="C65" s="633">
        <v>31127.416666666664</v>
      </c>
      <c r="D65" s="637"/>
      <c r="E65" s="637">
        <v>41593.76666666667</v>
      </c>
      <c r="F65" s="637">
        <v>13280.966666666667</v>
      </c>
      <c r="G65" s="637"/>
      <c r="H65" s="637"/>
      <c r="I65" s="633">
        <v>86002.15</v>
      </c>
      <c r="J65" s="633"/>
      <c r="K65" s="637">
        <v>18440.776666666665</v>
      </c>
      <c r="L65" s="637">
        <v>33774.286666666667</v>
      </c>
      <c r="M65" s="637">
        <v>3829.0666666666666</v>
      </c>
      <c r="N65" s="633">
        <v>56044.13</v>
      </c>
      <c r="O65" s="633"/>
      <c r="P65" s="637"/>
      <c r="Q65" s="633">
        <v>4584.5</v>
      </c>
      <c r="R65" s="633"/>
      <c r="S65" s="633">
        <v>4584.5</v>
      </c>
      <c r="T65" s="645"/>
      <c r="U65" s="645"/>
      <c r="V65" s="645"/>
      <c r="W65" s="645"/>
      <c r="X65" s="645"/>
      <c r="Y65" s="645"/>
      <c r="Z65" s="645"/>
      <c r="AA65" s="653"/>
      <c r="AB65" s="765"/>
      <c r="AC65" s="765"/>
      <c r="AD65" s="765"/>
      <c r="AE65" s="630"/>
    </row>
    <row r="66" spans="1:31" s="73" customFormat="1">
      <c r="A66" s="244"/>
      <c r="B66" s="245" t="s">
        <v>100</v>
      </c>
      <c r="C66" s="246">
        <v>31765.800000000003</v>
      </c>
      <c r="D66" s="247"/>
      <c r="E66" s="247">
        <v>41239.73333333333</v>
      </c>
      <c r="F66" s="247">
        <v>13283.366666666665</v>
      </c>
      <c r="G66" s="247"/>
      <c r="H66" s="247"/>
      <c r="I66" s="246">
        <v>86288.9</v>
      </c>
      <c r="J66" s="246"/>
      <c r="K66" s="247">
        <v>18423.433333333334</v>
      </c>
      <c r="L66" s="247">
        <v>33930.333333333328</v>
      </c>
      <c r="M66" s="247">
        <v>3719.9333333333334</v>
      </c>
      <c r="N66" s="246">
        <v>56073.7</v>
      </c>
      <c r="O66" s="246"/>
      <c r="P66" s="247"/>
      <c r="Q66" s="246">
        <v>4817.2</v>
      </c>
      <c r="R66" s="246"/>
      <c r="S66" s="246">
        <v>4817.2</v>
      </c>
      <c r="T66" s="326"/>
      <c r="U66" s="326"/>
      <c r="V66" s="326"/>
      <c r="W66" s="326"/>
      <c r="X66" s="326"/>
      <c r="Y66" s="326"/>
      <c r="Z66" s="326"/>
      <c r="AA66" s="654"/>
      <c r="AB66" s="765"/>
      <c r="AC66" s="765"/>
      <c r="AD66" s="765"/>
      <c r="AE66" s="630"/>
    </row>
    <row r="67" spans="1:31" s="73" customFormat="1">
      <c r="A67" s="244"/>
      <c r="B67" s="248" t="s">
        <v>114</v>
      </c>
      <c r="C67" s="256">
        <v>2.050871552141886E-2</v>
      </c>
      <c r="D67" s="257">
        <v>0</v>
      </c>
      <c r="E67" s="257">
        <v>-8.5116920564220783E-3</v>
      </c>
      <c r="F67" s="257">
        <v>1.8070973749384335E-4</v>
      </c>
      <c r="G67" s="257">
        <v>0</v>
      </c>
      <c r="H67" s="257">
        <v>0</v>
      </c>
      <c r="I67" s="256">
        <v>3.3342189701071425E-3</v>
      </c>
      <c r="J67" s="256">
        <v>0</v>
      </c>
      <c r="K67" s="257">
        <v>-9.4048822600189771E-4</v>
      </c>
      <c r="L67" s="257">
        <v>4.6202801618507889E-3</v>
      </c>
      <c r="M67" s="257">
        <v>-2.8501288390556413E-2</v>
      </c>
      <c r="N67" s="256">
        <v>5.2761993093682188E-4</v>
      </c>
      <c r="O67" s="652">
        <v>0</v>
      </c>
      <c r="P67" s="257">
        <v>0</v>
      </c>
      <c r="Q67" s="256">
        <v>5.0757988875558907E-2</v>
      </c>
      <c r="R67" s="256">
        <v>0</v>
      </c>
      <c r="S67" s="256">
        <v>5.0757988875558907E-2</v>
      </c>
      <c r="T67" s="327">
        <v>0</v>
      </c>
      <c r="U67" s="327">
        <v>0</v>
      </c>
      <c r="V67" s="327">
        <v>0</v>
      </c>
      <c r="W67" s="327">
        <v>0</v>
      </c>
      <c r="X67" s="327">
        <v>0</v>
      </c>
      <c r="Y67" s="327">
        <v>0</v>
      </c>
      <c r="Z67" s="327">
        <v>0</v>
      </c>
      <c r="AA67" s="655">
        <v>0</v>
      </c>
      <c r="AB67" s="766"/>
      <c r="AC67" s="766"/>
      <c r="AD67" s="766"/>
      <c r="AE67" s="630"/>
    </row>
    <row r="68" spans="1:31" s="73" customFormat="1">
      <c r="A68" s="244"/>
      <c r="B68" s="245" t="s">
        <v>98</v>
      </c>
      <c r="C68" s="246">
        <v>0</v>
      </c>
      <c r="D68" s="247"/>
      <c r="E68" s="247">
        <v>0</v>
      </c>
      <c r="F68" s="247">
        <v>0</v>
      </c>
      <c r="G68" s="247"/>
      <c r="H68" s="247"/>
      <c r="I68" s="246">
        <v>0</v>
      </c>
      <c r="J68" s="246"/>
      <c r="K68" s="247">
        <v>0</v>
      </c>
      <c r="L68" s="247">
        <v>0</v>
      </c>
      <c r="M68" s="247">
        <v>0</v>
      </c>
      <c r="N68" s="246">
        <v>0</v>
      </c>
      <c r="O68" s="328"/>
      <c r="P68" s="247"/>
      <c r="Q68" s="246">
        <v>0</v>
      </c>
      <c r="R68" s="246"/>
      <c r="S68" s="246">
        <v>0</v>
      </c>
      <c r="T68" s="326"/>
      <c r="U68" s="326"/>
      <c r="V68" s="326"/>
      <c r="W68" s="326"/>
      <c r="X68" s="326"/>
      <c r="Y68" s="326"/>
      <c r="Z68" s="326"/>
      <c r="AA68" s="656"/>
      <c r="AB68" s="765"/>
      <c r="AC68" s="765"/>
      <c r="AD68" s="765"/>
      <c r="AE68" s="630"/>
    </row>
    <row r="69" spans="1:31" s="73" customFormat="1">
      <c r="A69" s="244"/>
      <c r="B69" s="245" t="s">
        <v>96</v>
      </c>
      <c r="C69" s="246">
        <v>0</v>
      </c>
      <c r="D69" s="247"/>
      <c r="E69" s="247">
        <v>0</v>
      </c>
      <c r="F69" s="247">
        <v>0</v>
      </c>
      <c r="G69" s="247"/>
      <c r="H69" s="247"/>
      <c r="I69" s="246">
        <v>0</v>
      </c>
      <c r="J69" s="246"/>
      <c r="K69" s="247">
        <v>0</v>
      </c>
      <c r="L69" s="247">
        <v>0</v>
      </c>
      <c r="M69" s="247">
        <v>0</v>
      </c>
      <c r="N69" s="246">
        <v>0</v>
      </c>
      <c r="O69" s="328"/>
      <c r="P69" s="247"/>
      <c r="Q69" s="246">
        <v>0</v>
      </c>
      <c r="R69" s="246"/>
      <c r="S69" s="246">
        <v>0</v>
      </c>
      <c r="T69" s="326"/>
      <c r="U69" s="326"/>
      <c r="V69" s="326"/>
      <c r="W69" s="326"/>
      <c r="X69" s="326"/>
      <c r="Y69" s="326"/>
      <c r="Z69" s="326"/>
      <c r="AA69" s="656"/>
      <c r="AB69" s="765"/>
      <c r="AC69" s="765"/>
      <c r="AD69" s="765"/>
      <c r="AE69" s="630"/>
    </row>
    <row r="70" spans="1:31" s="73" customFormat="1">
      <c r="A70" s="244"/>
      <c r="B70" s="248" t="s">
        <v>116</v>
      </c>
      <c r="C70" s="256">
        <v>0</v>
      </c>
      <c r="D70" s="257">
        <v>0</v>
      </c>
      <c r="E70" s="257">
        <v>0</v>
      </c>
      <c r="F70" s="257">
        <v>0</v>
      </c>
      <c r="G70" s="257">
        <v>0</v>
      </c>
      <c r="H70" s="257">
        <v>0</v>
      </c>
      <c r="I70" s="256">
        <v>0</v>
      </c>
      <c r="J70" s="256">
        <v>0</v>
      </c>
      <c r="K70" s="257">
        <v>0</v>
      </c>
      <c r="L70" s="257">
        <v>0</v>
      </c>
      <c r="M70" s="257">
        <v>0</v>
      </c>
      <c r="N70" s="256">
        <v>0</v>
      </c>
      <c r="O70" s="652">
        <v>0</v>
      </c>
      <c r="P70" s="257">
        <v>0</v>
      </c>
      <c r="Q70" s="256">
        <v>0</v>
      </c>
      <c r="R70" s="256">
        <v>0</v>
      </c>
      <c r="S70" s="256">
        <v>0</v>
      </c>
      <c r="T70" s="327">
        <v>0</v>
      </c>
      <c r="U70" s="327">
        <v>0</v>
      </c>
      <c r="V70" s="327">
        <v>0</v>
      </c>
      <c r="W70" s="327">
        <v>0</v>
      </c>
      <c r="X70" s="327">
        <v>0</v>
      </c>
      <c r="Y70" s="327">
        <v>0</v>
      </c>
      <c r="Z70" s="327">
        <v>0</v>
      </c>
      <c r="AA70" s="655">
        <v>0</v>
      </c>
      <c r="AB70" s="766"/>
      <c r="AC70" s="766"/>
      <c r="AD70" s="766"/>
      <c r="AE70" s="630"/>
    </row>
    <row r="71" spans="1:31" s="73" customFormat="1">
      <c r="A71" s="244"/>
      <c r="B71" s="245" t="s">
        <v>104</v>
      </c>
      <c r="C71" s="246">
        <v>6851.75</v>
      </c>
      <c r="D71" s="247"/>
      <c r="E71" s="247">
        <v>5971.979166666667</v>
      </c>
      <c r="F71" s="247">
        <v>1821.5</v>
      </c>
      <c r="G71" s="247"/>
      <c r="H71" s="247"/>
      <c r="I71" s="246">
        <v>14645.229166666668</v>
      </c>
      <c r="J71" s="246"/>
      <c r="K71" s="247">
        <v>0</v>
      </c>
      <c r="L71" s="247">
        <v>0</v>
      </c>
      <c r="M71" s="247">
        <v>0</v>
      </c>
      <c r="N71" s="246">
        <v>0</v>
      </c>
      <c r="O71" s="328"/>
      <c r="P71" s="247"/>
      <c r="Q71" s="246">
        <v>0</v>
      </c>
      <c r="R71" s="246"/>
      <c r="S71" s="246">
        <v>0</v>
      </c>
      <c r="T71" s="326"/>
      <c r="U71" s="326"/>
      <c r="V71" s="326"/>
      <c r="W71" s="326"/>
      <c r="X71" s="326"/>
      <c r="Y71" s="326"/>
      <c r="Z71" s="326"/>
      <c r="AA71" s="656"/>
      <c r="AB71" s="765"/>
      <c r="AC71" s="765"/>
      <c r="AD71" s="765"/>
      <c r="AE71" s="630"/>
    </row>
    <row r="72" spans="1:31" s="73" customFormat="1">
      <c r="A72" s="244"/>
      <c r="B72" s="245" t="s">
        <v>106</v>
      </c>
      <c r="C72" s="246">
        <v>6826</v>
      </c>
      <c r="D72" s="247"/>
      <c r="E72" s="247">
        <v>5357.4583333333339</v>
      </c>
      <c r="F72" s="247">
        <v>1888.6666666666667</v>
      </c>
      <c r="G72" s="247"/>
      <c r="H72" s="247"/>
      <c r="I72" s="246">
        <v>14072.125</v>
      </c>
      <c r="J72" s="246"/>
      <c r="K72" s="247">
        <v>0</v>
      </c>
      <c r="L72" s="247">
        <v>0</v>
      </c>
      <c r="M72" s="247">
        <v>0</v>
      </c>
      <c r="N72" s="246">
        <v>0</v>
      </c>
      <c r="O72" s="328"/>
      <c r="P72" s="247"/>
      <c r="Q72" s="246">
        <v>0</v>
      </c>
      <c r="R72" s="246"/>
      <c r="S72" s="246">
        <v>0</v>
      </c>
      <c r="T72" s="326"/>
      <c r="U72" s="326"/>
      <c r="V72" s="326"/>
      <c r="W72" s="326"/>
      <c r="X72" s="326"/>
      <c r="Y72" s="326"/>
      <c r="Z72" s="326"/>
      <c r="AA72" s="656"/>
      <c r="AB72" s="765"/>
      <c r="AC72" s="765"/>
      <c r="AD72" s="765"/>
      <c r="AE72" s="630"/>
    </row>
    <row r="73" spans="1:31" s="73" customFormat="1">
      <c r="A73" s="244"/>
      <c r="B73" s="248" t="s">
        <v>108</v>
      </c>
      <c r="C73" s="256">
        <v>-3.7581639727077023E-3</v>
      </c>
      <c r="D73" s="257">
        <v>0</v>
      </c>
      <c r="E73" s="663">
        <v>-0.10290069944707046</v>
      </c>
      <c r="F73" s="257">
        <v>3.6874370939701751E-2</v>
      </c>
      <c r="G73" s="257">
        <v>0</v>
      </c>
      <c r="H73" s="257">
        <v>0</v>
      </c>
      <c r="I73" s="256">
        <v>-3.9132481994278656E-2</v>
      </c>
      <c r="J73" s="256">
        <v>0</v>
      </c>
      <c r="K73" s="257">
        <v>0</v>
      </c>
      <c r="L73" s="257">
        <v>0</v>
      </c>
      <c r="M73" s="257">
        <v>0</v>
      </c>
      <c r="N73" s="256">
        <v>0</v>
      </c>
      <c r="O73" s="652">
        <v>0</v>
      </c>
      <c r="P73" s="257">
        <v>0</v>
      </c>
      <c r="Q73" s="256">
        <v>0</v>
      </c>
      <c r="R73" s="256">
        <v>0</v>
      </c>
      <c r="S73" s="256">
        <v>0</v>
      </c>
      <c r="T73" s="327">
        <v>0</v>
      </c>
      <c r="U73" s="327">
        <v>0</v>
      </c>
      <c r="V73" s="327">
        <v>0</v>
      </c>
      <c r="W73" s="327">
        <v>0</v>
      </c>
      <c r="X73" s="327">
        <v>0</v>
      </c>
      <c r="Y73" s="327">
        <v>0</v>
      </c>
      <c r="Z73" s="327">
        <v>0</v>
      </c>
      <c r="AA73" s="655">
        <v>0</v>
      </c>
      <c r="AB73" s="766"/>
      <c r="AC73" s="766"/>
      <c r="AD73" s="766"/>
      <c r="AE73" s="630"/>
    </row>
    <row r="74" spans="1:31" s="73" customFormat="1">
      <c r="A74" s="244"/>
      <c r="B74" s="245" t="s">
        <v>9</v>
      </c>
      <c r="C74" s="246">
        <v>37979.166666666672</v>
      </c>
      <c r="D74" s="247"/>
      <c r="E74" s="247">
        <v>47565.745833333334</v>
      </c>
      <c r="F74" s="247">
        <v>15102.466666666667</v>
      </c>
      <c r="G74" s="247"/>
      <c r="H74" s="247"/>
      <c r="I74" s="246">
        <v>100647.37916666668</v>
      </c>
      <c r="J74" s="246"/>
      <c r="K74" s="247">
        <v>18440.776666666665</v>
      </c>
      <c r="L74" s="247">
        <v>33774.286666666667</v>
      </c>
      <c r="M74" s="247">
        <v>3829.0666666666666</v>
      </c>
      <c r="N74" s="246">
        <v>56044.13</v>
      </c>
      <c r="O74" s="328"/>
      <c r="P74" s="247"/>
      <c r="Q74" s="246">
        <v>4584.5</v>
      </c>
      <c r="R74" s="246"/>
      <c r="S74" s="246">
        <v>4584.5</v>
      </c>
      <c r="T74" s="326"/>
      <c r="U74" s="326"/>
      <c r="V74" s="326"/>
      <c r="W74" s="326"/>
      <c r="X74" s="326"/>
      <c r="Y74" s="326"/>
      <c r="Z74" s="326"/>
      <c r="AA74" s="656"/>
      <c r="AB74" s="765"/>
      <c r="AC74" s="765"/>
      <c r="AD74" s="765"/>
      <c r="AE74" s="630"/>
    </row>
    <row r="75" spans="1:31" s="73" customFormat="1">
      <c r="A75" s="244"/>
      <c r="B75" s="245" t="s">
        <v>110</v>
      </c>
      <c r="C75" s="246">
        <v>38591.800000000003</v>
      </c>
      <c r="D75" s="247"/>
      <c r="E75" s="247">
        <v>46597.191666666666</v>
      </c>
      <c r="F75" s="247">
        <v>15172.033333333333</v>
      </c>
      <c r="G75" s="247"/>
      <c r="H75" s="247"/>
      <c r="I75" s="246">
        <v>100361.02499999999</v>
      </c>
      <c r="J75" s="246"/>
      <c r="K75" s="247">
        <v>18423.433333333334</v>
      </c>
      <c r="L75" s="247">
        <v>33930.333333333328</v>
      </c>
      <c r="M75" s="247">
        <v>3719.9333333333334</v>
      </c>
      <c r="N75" s="246">
        <v>56073.7</v>
      </c>
      <c r="O75" s="328"/>
      <c r="P75" s="247"/>
      <c r="Q75" s="246">
        <v>4817.2</v>
      </c>
      <c r="R75" s="246"/>
      <c r="S75" s="246">
        <v>4817.2</v>
      </c>
      <c r="T75" s="326"/>
      <c r="U75" s="326"/>
      <c r="V75" s="326"/>
      <c r="W75" s="326"/>
      <c r="X75" s="326"/>
      <c r="Y75" s="326"/>
      <c r="Z75" s="326"/>
      <c r="AA75" s="656"/>
      <c r="AB75" s="765"/>
      <c r="AC75" s="765"/>
      <c r="AD75" s="765"/>
      <c r="AE75" s="630"/>
    </row>
    <row r="76" spans="1:31" s="73" customFormat="1">
      <c r="A76" s="249"/>
      <c r="B76" s="325" t="s">
        <v>112</v>
      </c>
      <c r="C76" s="256">
        <v>1.6130773450356503E-2</v>
      </c>
      <c r="D76" s="257">
        <v>0</v>
      </c>
      <c r="E76" s="257">
        <v>-2.0362429931413392E-2</v>
      </c>
      <c r="F76" s="257">
        <v>4.6063115517552778E-3</v>
      </c>
      <c r="G76" s="257">
        <v>0</v>
      </c>
      <c r="H76" s="257">
        <v>0</v>
      </c>
      <c r="I76" s="256">
        <v>-2.8451229335289927E-3</v>
      </c>
      <c r="J76" s="256">
        <v>0</v>
      </c>
      <c r="K76" s="257">
        <v>-9.4048822600189771E-4</v>
      </c>
      <c r="L76" s="257">
        <v>4.6202801618507889E-3</v>
      </c>
      <c r="M76" s="257">
        <v>-2.8501288390556413E-2</v>
      </c>
      <c r="N76" s="256">
        <v>5.2761993093682188E-4</v>
      </c>
      <c r="O76" s="652">
        <v>0</v>
      </c>
      <c r="P76" s="257">
        <v>0</v>
      </c>
      <c r="Q76" s="256">
        <v>5.0757988875558907E-2</v>
      </c>
      <c r="R76" s="256">
        <v>0</v>
      </c>
      <c r="S76" s="256">
        <v>5.0757988875558907E-2</v>
      </c>
      <c r="T76" s="327">
        <v>0</v>
      </c>
      <c r="U76" s="327">
        <v>0</v>
      </c>
      <c r="V76" s="327">
        <v>0</v>
      </c>
      <c r="W76" s="327">
        <v>0</v>
      </c>
      <c r="X76" s="327">
        <v>0</v>
      </c>
      <c r="Y76" s="327">
        <v>0</v>
      </c>
      <c r="Z76" s="327">
        <v>0</v>
      </c>
      <c r="AA76" s="655">
        <v>0</v>
      </c>
      <c r="AB76" s="766"/>
      <c r="AC76" s="766"/>
      <c r="AD76" s="766"/>
      <c r="AE76" s="630"/>
    </row>
    <row r="77" spans="1:31" s="73" customFormat="1">
      <c r="A77" s="638" t="s">
        <v>204</v>
      </c>
      <c r="B77" s="636" t="s">
        <v>102</v>
      </c>
      <c r="C77" s="633">
        <v>23979.766666666666</v>
      </c>
      <c r="D77" s="637">
        <v>26124.022222222222</v>
      </c>
      <c r="E77" s="637">
        <v>25002.633333333335</v>
      </c>
      <c r="F77" s="637">
        <v>30507.733333333334</v>
      </c>
      <c r="G77" s="637"/>
      <c r="H77" s="637">
        <v>1883.4666666666667</v>
      </c>
      <c r="I77" s="633">
        <v>107497.62222222221</v>
      </c>
      <c r="J77" s="633"/>
      <c r="K77" s="637">
        <v>19117.400000000001</v>
      </c>
      <c r="L77" s="637">
        <v>9538.5333333333328</v>
      </c>
      <c r="M77" s="637">
        <v>7670.0666666666675</v>
      </c>
      <c r="N77" s="633">
        <v>36326</v>
      </c>
      <c r="O77" s="633"/>
      <c r="P77" s="637"/>
      <c r="Q77" s="633">
        <v>19830.866666666669</v>
      </c>
      <c r="R77" s="633"/>
      <c r="S77" s="633">
        <v>19830.866666666669</v>
      </c>
      <c r="T77" s="645"/>
      <c r="U77" s="645"/>
      <c r="V77" s="645"/>
      <c r="W77" s="645"/>
      <c r="X77" s="645"/>
      <c r="Y77" s="645"/>
      <c r="Z77" s="645"/>
      <c r="AA77" s="653"/>
      <c r="AB77" s="765"/>
      <c r="AC77" s="765"/>
      <c r="AD77" s="765"/>
      <c r="AE77" s="630"/>
    </row>
    <row r="78" spans="1:31" s="73" customFormat="1">
      <c r="A78" s="244"/>
      <c r="B78" s="245" t="s">
        <v>100</v>
      </c>
      <c r="C78" s="246">
        <v>24254.566666666666</v>
      </c>
      <c r="D78" s="247">
        <v>26132.3</v>
      </c>
      <c r="E78" s="247">
        <v>24473.199999999997</v>
      </c>
      <c r="F78" s="247">
        <v>30344.166666666668</v>
      </c>
      <c r="G78" s="247"/>
      <c r="H78" s="247">
        <v>1861.8</v>
      </c>
      <c r="I78" s="246">
        <v>107066.03333333334</v>
      </c>
      <c r="J78" s="246"/>
      <c r="K78" s="247">
        <v>19982.733333333334</v>
      </c>
      <c r="L78" s="247">
        <v>10089.266666666666</v>
      </c>
      <c r="M78" s="247">
        <v>7497.0333333333328</v>
      </c>
      <c r="N78" s="246">
        <v>37569.033333333333</v>
      </c>
      <c r="O78" s="246"/>
      <c r="P78" s="247"/>
      <c r="Q78" s="246">
        <v>18658.816666666669</v>
      </c>
      <c r="R78" s="246"/>
      <c r="S78" s="246">
        <v>18658.816666666669</v>
      </c>
      <c r="T78" s="326"/>
      <c r="U78" s="326"/>
      <c r="V78" s="326"/>
      <c r="W78" s="326"/>
      <c r="X78" s="326"/>
      <c r="Y78" s="326"/>
      <c r="Z78" s="326"/>
      <c r="AA78" s="654"/>
      <c r="AB78" s="765"/>
      <c r="AC78" s="765"/>
      <c r="AD78" s="765"/>
      <c r="AE78" s="630"/>
    </row>
    <row r="79" spans="1:31" s="73" customFormat="1">
      <c r="A79" s="244"/>
      <c r="B79" s="248" t="s">
        <v>114</v>
      </c>
      <c r="C79" s="256">
        <v>1.1459661130981227E-2</v>
      </c>
      <c r="D79" s="257">
        <v>3.1686459716513096E-4</v>
      </c>
      <c r="E79" s="663">
        <v>-2.1175102889162526E-2</v>
      </c>
      <c r="F79" s="257">
        <v>-5.3614821160098977E-3</v>
      </c>
      <c r="G79" s="257">
        <v>0</v>
      </c>
      <c r="H79" s="257">
        <v>-1.1503610363868084E-2</v>
      </c>
      <c r="I79" s="256">
        <v>-4.0148691660984734E-3</v>
      </c>
      <c r="J79" s="256">
        <v>0</v>
      </c>
      <c r="K79" s="663">
        <v>4.5264174696001136E-2</v>
      </c>
      <c r="L79" s="663">
        <v>5.7737737457890133E-2</v>
      </c>
      <c r="M79" s="663">
        <v>-2.255956054271601E-2</v>
      </c>
      <c r="N79" s="256">
        <v>3.4218833158986203E-2</v>
      </c>
      <c r="O79" s="664">
        <v>0</v>
      </c>
      <c r="P79" s="257">
        <v>0</v>
      </c>
      <c r="Q79" s="256">
        <v>-5.9102308522404425E-2</v>
      </c>
      <c r="R79" s="256">
        <v>0</v>
      </c>
      <c r="S79" s="256">
        <v>-5.9102308522404425E-2</v>
      </c>
      <c r="T79" s="327">
        <v>0</v>
      </c>
      <c r="U79" s="327">
        <v>0</v>
      </c>
      <c r="V79" s="327">
        <v>0</v>
      </c>
      <c r="W79" s="327">
        <v>0</v>
      </c>
      <c r="X79" s="327">
        <v>0</v>
      </c>
      <c r="Y79" s="327">
        <v>0</v>
      </c>
      <c r="Z79" s="327">
        <v>0</v>
      </c>
      <c r="AA79" s="655">
        <v>0</v>
      </c>
      <c r="AB79" s="766"/>
      <c r="AC79" s="766"/>
      <c r="AD79" s="766"/>
      <c r="AE79" s="630"/>
    </row>
    <row r="80" spans="1:31" s="73" customFormat="1">
      <c r="A80" s="244"/>
      <c r="B80" s="245" t="s">
        <v>98</v>
      </c>
      <c r="C80" s="246">
        <v>0</v>
      </c>
      <c r="D80" s="247">
        <v>0</v>
      </c>
      <c r="E80" s="247">
        <v>0</v>
      </c>
      <c r="F80" s="247">
        <v>0</v>
      </c>
      <c r="G80" s="247"/>
      <c r="H80" s="247">
        <v>0</v>
      </c>
      <c r="I80" s="246">
        <v>0</v>
      </c>
      <c r="J80" s="246"/>
      <c r="K80" s="247">
        <v>0</v>
      </c>
      <c r="L80" s="247">
        <v>0</v>
      </c>
      <c r="M80" s="247">
        <v>0</v>
      </c>
      <c r="N80" s="246">
        <v>0</v>
      </c>
      <c r="O80" s="328"/>
      <c r="P80" s="247"/>
      <c r="Q80" s="246">
        <v>0</v>
      </c>
      <c r="R80" s="246"/>
      <c r="S80" s="246">
        <v>0</v>
      </c>
      <c r="T80" s="326"/>
      <c r="U80" s="326"/>
      <c r="V80" s="326"/>
      <c r="W80" s="326"/>
      <c r="X80" s="326"/>
      <c r="Y80" s="326"/>
      <c r="Z80" s="326"/>
      <c r="AA80" s="656"/>
      <c r="AB80" s="765"/>
      <c r="AC80" s="765"/>
      <c r="AD80" s="765"/>
      <c r="AE80" s="630"/>
    </row>
    <row r="81" spans="1:31" s="73" customFormat="1">
      <c r="A81" s="244"/>
      <c r="B81" s="245" t="s">
        <v>96</v>
      </c>
      <c r="C81" s="246">
        <v>0</v>
      </c>
      <c r="D81" s="247">
        <v>0</v>
      </c>
      <c r="E81" s="247">
        <v>0</v>
      </c>
      <c r="F81" s="247">
        <v>0</v>
      </c>
      <c r="G81" s="247"/>
      <c r="H81" s="247">
        <v>0</v>
      </c>
      <c r="I81" s="246">
        <v>0</v>
      </c>
      <c r="J81" s="246"/>
      <c r="K81" s="247">
        <v>0</v>
      </c>
      <c r="L81" s="247">
        <v>0</v>
      </c>
      <c r="M81" s="247">
        <v>0</v>
      </c>
      <c r="N81" s="246">
        <v>0</v>
      </c>
      <c r="O81" s="328"/>
      <c r="P81" s="247"/>
      <c r="Q81" s="246">
        <v>0</v>
      </c>
      <c r="R81" s="246"/>
      <c r="S81" s="246">
        <v>0</v>
      </c>
      <c r="T81" s="326"/>
      <c r="U81" s="326"/>
      <c r="V81" s="326"/>
      <c r="W81" s="326"/>
      <c r="X81" s="326"/>
      <c r="Y81" s="326"/>
      <c r="Z81" s="326"/>
      <c r="AA81" s="656"/>
      <c r="AB81" s="765"/>
      <c r="AC81" s="765"/>
      <c r="AD81" s="765"/>
      <c r="AE81" s="630"/>
    </row>
    <row r="82" spans="1:31" s="73" customFormat="1">
      <c r="A82" s="244"/>
      <c r="B82" s="248" t="s">
        <v>116</v>
      </c>
      <c r="C82" s="256">
        <v>0</v>
      </c>
      <c r="D82" s="257">
        <v>0</v>
      </c>
      <c r="E82" s="257">
        <v>0</v>
      </c>
      <c r="F82" s="257">
        <v>0</v>
      </c>
      <c r="G82" s="257">
        <v>0</v>
      </c>
      <c r="H82" s="257">
        <v>0</v>
      </c>
      <c r="I82" s="256">
        <v>0</v>
      </c>
      <c r="J82" s="256">
        <v>0</v>
      </c>
      <c r="K82" s="257">
        <v>0</v>
      </c>
      <c r="L82" s="257">
        <v>0</v>
      </c>
      <c r="M82" s="257">
        <v>0</v>
      </c>
      <c r="N82" s="256">
        <v>0</v>
      </c>
      <c r="O82" s="652">
        <v>0</v>
      </c>
      <c r="P82" s="257">
        <v>0</v>
      </c>
      <c r="Q82" s="256">
        <v>0</v>
      </c>
      <c r="R82" s="256">
        <v>0</v>
      </c>
      <c r="S82" s="256">
        <v>0</v>
      </c>
      <c r="T82" s="327">
        <v>0</v>
      </c>
      <c r="U82" s="327">
        <v>0</v>
      </c>
      <c r="V82" s="327">
        <v>0</v>
      </c>
      <c r="W82" s="327">
        <v>0</v>
      </c>
      <c r="X82" s="327">
        <v>0</v>
      </c>
      <c r="Y82" s="327">
        <v>0</v>
      </c>
      <c r="Z82" s="327">
        <v>0</v>
      </c>
      <c r="AA82" s="655">
        <v>0</v>
      </c>
      <c r="AB82" s="766"/>
      <c r="AC82" s="766"/>
      <c r="AD82" s="766"/>
      <c r="AE82" s="630"/>
    </row>
    <row r="83" spans="1:31" s="73" customFormat="1">
      <c r="A83" s="244"/>
      <c r="B83" s="245" t="s">
        <v>104</v>
      </c>
      <c r="C83" s="246">
        <v>4831</v>
      </c>
      <c r="D83" s="247">
        <v>3919.1805555555557</v>
      </c>
      <c r="E83" s="247">
        <v>3870.458333333333</v>
      </c>
      <c r="F83" s="247">
        <v>3024.666666666667</v>
      </c>
      <c r="G83" s="247"/>
      <c r="H83" s="247">
        <v>0</v>
      </c>
      <c r="I83" s="246">
        <v>15645.305555555555</v>
      </c>
      <c r="J83" s="246"/>
      <c r="K83" s="247">
        <v>0</v>
      </c>
      <c r="L83" s="247">
        <v>0</v>
      </c>
      <c r="M83" s="247">
        <v>0</v>
      </c>
      <c r="N83" s="246">
        <v>0</v>
      </c>
      <c r="O83" s="328"/>
      <c r="P83" s="247"/>
      <c r="Q83" s="246">
        <v>0</v>
      </c>
      <c r="R83" s="246"/>
      <c r="S83" s="246">
        <v>0</v>
      </c>
      <c r="T83" s="326"/>
      <c r="U83" s="326"/>
      <c r="V83" s="326"/>
      <c r="W83" s="326"/>
      <c r="X83" s="326"/>
      <c r="Y83" s="326"/>
      <c r="Z83" s="326"/>
      <c r="AA83" s="656"/>
      <c r="AB83" s="765"/>
      <c r="AC83" s="765"/>
      <c r="AD83" s="765"/>
      <c r="AE83" s="630"/>
    </row>
    <row r="84" spans="1:31" s="73" customFormat="1">
      <c r="A84" s="244"/>
      <c r="B84" s="245" t="s">
        <v>106</v>
      </c>
      <c r="C84" s="246">
        <v>4947.708333333333</v>
      </c>
      <c r="D84" s="247">
        <v>3837.75</v>
      </c>
      <c r="E84" s="247">
        <v>4050.208333333333</v>
      </c>
      <c r="F84" s="247">
        <v>2943.541666666667</v>
      </c>
      <c r="G84" s="247"/>
      <c r="H84" s="247">
        <v>0</v>
      </c>
      <c r="I84" s="246">
        <v>15779.208333333332</v>
      </c>
      <c r="J84" s="246"/>
      <c r="K84" s="247">
        <v>0</v>
      </c>
      <c r="L84" s="247">
        <v>0</v>
      </c>
      <c r="M84" s="247">
        <v>0</v>
      </c>
      <c r="N84" s="246">
        <v>0</v>
      </c>
      <c r="O84" s="328"/>
      <c r="P84" s="247"/>
      <c r="Q84" s="246">
        <v>0</v>
      </c>
      <c r="R84" s="246"/>
      <c r="S84" s="246">
        <v>0</v>
      </c>
      <c r="T84" s="326"/>
      <c r="U84" s="326"/>
      <c r="V84" s="326"/>
      <c r="W84" s="326"/>
      <c r="X84" s="326"/>
      <c r="Y84" s="326"/>
      <c r="Z84" s="326"/>
      <c r="AA84" s="656"/>
      <c r="AB84" s="765"/>
      <c r="AC84" s="765"/>
      <c r="AD84" s="765"/>
      <c r="AE84" s="630"/>
    </row>
    <row r="85" spans="1:31" s="73" customFormat="1">
      <c r="A85" s="244"/>
      <c r="B85" s="248" t="s">
        <v>108</v>
      </c>
      <c r="C85" s="256">
        <v>2.4158214310356661E-2</v>
      </c>
      <c r="D85" s="257">
        <v>-2.0777444264496927E-2</v>
      </c>
      <c r="E85" s="257">
        <v>4.6441528242779175E-2</v>
      </c>
      <c r="F85" s="257">
        <v>-2.6821137315406654E-2</v>
      </c>
      <c r="G85" s="257">
        <v>0</v>
      </c>
      <c r="H85" s="257">
        <v>0</v>
      </c>
      <c r="I85" s="256">
        <v>8.5586553296958419E-3</v>
      </c>
      <c r="J85" s="256">
        <v>0</v>
      </c>
      <c r="K85" s="257">
        <v>0</v>
      </c>
      <c r="L85" s="257">
        <v>0</v>
      </c>
      <c r="M85" s="257">
        <v>0</v>
      </c>
      <c r="N85" s="256">
        <v>0</v>
      </c>
      <c r="O85" s="652">
        <v>0</v>
      </c>
      <c r="P85" s="257">
        <v>0</v>
      </c>
      <c r="Q85" s="256">
        <v>0</v>
      </c>
      <c r="R85" s="256">
        <v>0</v>
      </c>
      <c r="S85" s="256">
        <v>0</v>
      </c>
      <c r="T85" s="327">
        <v>0</v>
      </c>
      <c r="U85" s="327">
        <v>0</v>
      </c>
      <c r="V85" s="327">
        <v>0</v>
      </c>
      <c r="W85" s="327">
        <v>0</v>
      </c>
      <c r="X85" s="327">
        <v>0</v>
      </c>
      <c r="Y85" s="327">
        <v>0</v>
      </c>
      <c r="Z85" s="327">
        <v>0</v>
      </c>
      <c r="AA85" s="655">
        <v>0</v>
      </c>
      <c r="AB85" s="766"/>
      <c r="AC85" s="766"/>
      <c r="AD85" s="766"/>
      <c r="AE85" s="630"/>
    </row>
    <row r="86" spans="1:31" s="73" customFormat="1">
      <c r="A86" s="244"/>
      <c r="B86" s="245" t="s">
        <v>9</v>
      </c>
      <c r="C86" s="246">
        <v>28810.766666666666</v>
      </c>
      <c r="D86" s="247">
        <v>30043.202777777777</v>
      </c>
      <c r="E86" s="247">
        <v>28873.091666666667</v>
      </c>
      <c r="F86" s="247">
        <v>33532.400000000001</v>
      </c>
      <c r="G86" s="247"/>
      <c r="H86" s="247">
        <v>1883.4666666666667</v>
      </c>
      <c r="I86" s="246">
        <v>123142.92777777776</v>
      </c>
      <c r="J86" s="246"/>
      <c r="K86" s="247">
        <v>19117.400000000001</v>
      </c>
      <c r="L86" s="247">
        <v>9538.5333333333328</v>
      </c>
      <c r="M86" s="247">
        <v>7670.0666666666675</v>
      </c>
      <c r="N86" s="246">
        <v>36326</v>
      </c>
      <c r="O86" s="328"/>
      <c r="P86" s="247"/>
      <c r="Q86" s="246">
        <v>19830.866666666669</v>
      </c>
      <c r="R86" s="246"/>
      <c r="S86" s="246">
        <v>19830.866666666669</v>
      </c>
      <c r="T86" s="326"/>
      <c r="U86" s="326"/>
      <c r="V86" s="326"/>
      <c r="W86" s="326"/>
      <c r="X86" s="326"/>
      <c r="Y86" s="326"/>
      <c r="Z86" s="326"/>
      <c r="AA86" s="656"/>
      <c r="AB86" s="765"/>
      <c r="AC86" s="765"/>
      <c r="AD86" s="765"/>
      <c r="AE86" s="630"/>
    </row>
    <row r="87" spans="1:31" s="73" customFormat="1">
      <c r="A87" s="244"/>
      <c r="B87" s="245" t="s">
        <v>110</v>
      </c>
      <c r="C87" s="246">
        <v>29202.274999999998</v>
      </c>
      <c r="D87" s="247">
        <v>29970.050000000003</v>
      </c>
      <c r="E87" s="247">
        <v>28523.408333333333</v>
      </c>
      <c r="F87" s="247">
        <v>33287.708333333328</v>
      </c>
      <c r="G87" s="247"/>
      <c r="H87" s="247">
        <v>1861.8</v>
      </c>
      <c r="I87" s="246">
        <v>122845.24166666667</v>
      </c>
      <c r="J87" s="246"/>
      <c r="K87" s="247">
        <v>19982.733333333334</v>
      </c>
      <c r="L87" s="247">
        <v>10089.266666666666</v>
      </c>
      <c r="M87" s="247">
        <v>7497.0333333333328</v>
      </c>
      <c r="N87" s="246">
        <v>37569.033333333333</v>
      </c>
      <c r="O87" s="328"/>
      <c r="P87" s="247"/>
      <c r="Q87" s="246">
        <v>18658.816666666669</v>
      </c>
      <c r="R87" s="246"/>
      <c r="S87" s="246">
        <v>18658.816666666669</v>
      </c>
      <c r="T87" s="326"/>
      <c r="U87" s="326"/>
      <c r="V87" s="326"/>
      <c r="W87" s="326"/>
      <c r="X87" s="326"/>
      <c r="Y87" s="326"/>
      <c r="Z87" s="326"/>
      <c r="AA87" s="656"/>
      <c r="AB87" s="765"/>
      <c r="AC87" s="765"/>
      <c r="AD87" s="765"/>
      <c r="AE87" s="630"/>
    </row>
    <row r="88" spans="1:31" s="73" customFormat="1">
      <c r="A88" s="249"/>
      <c r="B88" s="325" t="s">
        <v>112</v>
      </c>
      <c r="C88" s="256">
        <v>1.3588959220106306E-2</v>
      </c>
      <c r="D88" s="257">
        <v>-2.4349194165105147E-3</v>
      </c>
      <c r="E88" s="257">
        <v>-1.2111045722790948E-2</v>
      </c>
      <c r="F88" s="257">
        <v>-7.2971712930381648E-3</v>
      </c>
      <c r="G88" s="257">
        <v>0</v>
      </c>
      <c r="H88" s="257">
        <v>-1.1503610363868084E-2</v>
      </c>
      <c r="I88" s="256">
        <v>-2.4174032279656076E-3</v>
      </c>
      <c r="J88" s="256">
        <v>0</v>
      </c>
      <c r="K88" s="257">
        <v>4.5264174696001136E-2</v>
      </c>
      <c r="L88" s="257">
        <v>5.7737737457890133E-2</v>
      </c>
      <c r="M88" s="257">
        <v>-2.255956054271601E-2</v>
      </c>
      <c r="N88" s="256">
        <v>3.4218833158986203E-2</v>
      </c>
      <c r="O88" s="652">
        <v>0</v>
      </c>
      <c r="P88" s="257">
        <v>0</v>
      </c>
      <c r="Q88" s="256">
        <v>-5.9102308522404425E-2</v>
      </c>
      <c r="R88" s="256">
        <v>0</v>
      </c>
      <c r="S88" s="256">
        <v>-5.9102308522404425E-2</v>
      </c>
      <c r="T88" s="327">
        <v>0</v>
      </c>
      <c r="U88" s="327">
        <v>0</v>
      </c>
      <c r="V88" s="327">
        <v>0</v>
      </c>
      <c r="W88" s="327">
        <v>0</v>
      </c>
      <c r="X88" s="327">
        <v>0</v>
      </c>
      <c r="Y88" s="327">
        <v>0</v>
      </c>
      <c r="Z88" s="327">
        <v>0</v>
      </c>
      <c r="AA88" s="655">
        <v>0</v>
      </c>
      <c r="AB88" s="766"/>
      <c r="AC88" s="766"/>
      <c r="AD88" s="766"/>
      <c r="AE88" s="630"/>
    </row>
    <row r="89" spans="1:31" s="73" customFormat="1">
      <c r="A89" s="638" t="s">
        <v>30</v>
      </c>
      <c r="B89" s="636" t="s">
        <v>102</v>
      </c>
      <c r="C89" s="633">
        <v>26640.6</v>
      </c>
      <c r="D89" s="637">
        <v>15721.349999999999</v>
      </c>
      <c r="E89" s="637">
        <v>16890.516666666666</v>
      </c>
      <c r="F89" s="637">
        <v>25506.466666666667</v>
      </c>
      <c r="G89" s="637"/>
      <c r="H89" s="637">
        <v>2094.4833333333331</v>
      </c>
      <c r="I89" s="633">
        <v>86853.416666666657</v>
      </c>
      <c r="J89" s="633"/>
      <c r="K89" s="637">
        <v>69967.32666666666</v>
      </c>
      <c r="L89" s="637">
        <v>24506.716666666667</v>
      </c>
      <c r="M89" s="637">
        <v>4122.5749999999998</v>
      </c>
      <c r="N89" s="633">
        <v>98596.618333333332</v>
      </c>
      <c r="O89" s="633"/>
      <c r="P89" s="637"/>
      <c r="Q89" s="633"/>
      <c r="R89" s="633"/>
      <c r="S89" s="633"/>
      <c r="T89" s="645"/>
      <c r="U89" s="645"/>
      <c r="V89" s="645"/>
      <c r="W89" s="645"/>
      <c r="X89" s="645"/>
      <c r="Y89" s="645"/>
      <c r="Z89" s="645"/>
      <c r="AA89" s="653"/>
      <c r="AB89" s="765"/>
      <c r="AC89" s="765"/>
      <c r="AD89" s="765"/>
      <c r="AE89" s="630"/>
    </row>
    <row r="90" spans="1:31" s="73" customFormat="1">
      <c r="A90" s="244"/>
      <c r="B90" s="245" t="s">
        <v>100</v>
      </c>
      <c r="C90" s="246">
        <v>26664.633333333335</v>
      </c>
      <c r="D90" s="247">
        <v>16294.099999999999</v>
      </c>
      <c r="E90" s="247">
        <v>16876.883333333335</v>
      </c>
      <c r="F90" s="247">
        <v>25620.083333333336</v>
      </c>
      <c r="G90" s="247"/>
      <c r="H90" s="247">
        <v>2171.75</v>
      </c>
      <c r="I90" s="246">
        <v>87627.450000000012</v>
      </c>
      <c r="J90" s="246"/>
      <c r="K90" s="247">
        <v>70204.950000000012</v>
      </c>
      <c r="L90" s="247">
        <v>24798.749999999996</v>
      </c>
      <c r="M90" s="247">
        <v>4195.625</v>
      </c>
      <c r="N90" s="246">
        <v>99199.325000000012</v>
      </c>
      <c r="O90" s="246"/>
      <c r="P90" s="247"/>
      <c r="Q90" s="246"/>
      <c r="R90" s="246"/>
      <c r="S90" s="246"/>
      <c r="T90" s="326"/>
      <c r="U90" s="326"/>
      <c r="V90" s="326"/>
      <c r="W90" s="326"/>
      <c r="X90" s="326"/>
      <c r="Y90" s="326"/>
      <c r="Z90" s="326"/>
      <c r="AA90" s="654"/>
      <c r="AB90" s="765"/>
      <c r="AC90" s="765"/>
      <c r="AD90" s="765"/>
      <c r="AE90" s="630"/>
    </row>
    <row r="91" spans="1:31" s="73" customFormat="1">
      <c r="A91" s="244"/>
      <c r="B91" s="248" t="s">
        <v>114</v>
      </c>
      <c r="C91" s="256">
        <v>9.0213183386772403E-4</v>
      </c>
      <c r="D91" s="257">
        <v>3.643134972505542E-2</v>
      </c>
      <c r="E91" s="257">
        <v>-8.0715904684175205E-4</v>
      </c>
      <c r="F91" s="257">
        <v>4.4544259364292689E-3</v>
      </c>
      <c r="G91" s="257">
        <v>0</v>
      </c>
      <c r="H91" s="257">
        <v>3.6890561713708338E-2</v>
      </c>
      <c r="I91" s="256">
        <v>8.9119503070785987E-3</v>
      </c>
      <c r="J91" s="256">
        <v>0</v>
      </c>
      <c r="K91" s="257">
        <v>3.3962042663916443E-3</v>
      </c>
      <c r="L91" s="257">
        <v>1.1916460997427068E-2</v>
      </c>
      <c r="M91" s="257">
        <v>1.7719507831876966E-2</v>
      </c>
      <c r="N91" s="256">
        <v>6.112853329604988E-3</v>
      </c>
      <c r="O91" s="652">
        <v>0</v>
      </c>
      <c r="P91" s="257">
        <v>0</v>
      </c>
      <c r="Q91" s="256">
        <v>0</v>
      </c>
      <c r="R91" s="256">
        <v>0</v>
      </c>
      <c r="S91" s="256">
        <v>0</v>
      </c>
      <c r="T91" s="327">
        <v>0</v>
      </c>
      <c r="U91" s="327">
        <v>0</v>
      </c>
      <c r="V91" s="327">
        <v>0</v>
      </c>
      <c r="W91" s="327">
        <v>0</v>
      </c>
      <c r="X91" s="327">
        <v>0</v>
      </c>
      <c r="Y91" s="327">
        <v>0</v>
      </c>
      <c r="Z91" s="327">
        <v>0</v>
      </c>
      <c r="AA91" s="655">
        <v>0</v>
      </c>
      <c r="AB91" s="766"/>
      <c r="AC91" s="766"/>
      <c r="AD91" s="766"/>
      <c r="AE91" s="630"/>
    </row>
    <row r="92" spans="1:31" s="73" customFormat="1">
      <c r="A92" s="244"/>
      <c r="B92" s="245" t="s">
        <v>98</v>
      </c>
      <c r="C92" s="246">
        <v>0</v>
      </c>
      <c r="D92" s="247">
        <v>0</v>
      </c>
      <c r="E92" s="247">
        <v>0</v>
      </c>
      <c r="F92" s="247">
        <v>0</v>
      </c>
      <c r="G92" s="247"/>
      <c r="H92" s="247">
        <v>0</v>
      </c>
      <c r="I92" s="246">
        <v>0</v>
      </c>
      <c r="J92" s="246"/>
      <c r="K92" s="247">
        <v>0</v>
      </c>
      <c r="L92" s="247">
        <v>0</v>
      </c>
      <c r="M92" s="247">
        <v>0</v>
      </c>
      <c r="N92" s="246">
        <v>0</v>
      </c>
      <c r="O92" s="328"/>
      <c r="P92" s="247"/>
      <c r="Q92" s="246"/>
      <c r="R92" s="246"/>
      <c r="S92" s="246"/>
      <c r="T92" s="326"/>
      <c r="U92" s="326"/>
      <c r="V92" s="326"/>
      <c r="W92" s="326"/>
      <c r="X92" s="326"/>
      <c r="Y92" s="326"/>
      <c r="Z92" s="326"/>
      <c r="AA92" s="656"/>
      <c r="AB92" s="765"/>
      <c r="AC92" s="765"/>
      <c r="AD92" s="765"/>
      <c r="AE92" s="630"/>
    </row>
    <row r="93" spans="1:31" s="73" customFormat="1">
      <c r="A93" s="244"/>
      <c r="B93" s="245" t="s">
        <v>96</v>
      </c>
      <c r="C93" s="246">
        <v>0</v>
      </c>
      <c r="D93" s="247">
        <v>0</v>
      </c>
      <c r="E93" s="247">
        <v>0</v>
      </c>
      <c r="F93" s="247">
        <v>0</v>
      </c>
      <c r="G93" s="247"/>
      <c r="H93" s="247">
        <v>0</v>
      </c>
      <c r="I93" s="246">
        <v>0</v>
      </c>
      <c r="J93" s="246"/>
      <c r="K93" s="247">
        <v>0</v>
      </c>
      <c r="L93" s="247">
        <v>0</v>
      </c>
      <c r="M93" s="247">
        <v>0</v>
      </c>
      <c r="N93" s="246">
        <v>0</v>
      </c>
      <c r="O93" s="328"/>
      <c r="P93" s="247"/>
      <c r="Q93" s="246"/>
      <c r="R93" s="246"/>
      <c r="S93" s="246"/>
      <c r="T93" s="326"/>
      <c r="U93" s="326"/>
      <c r="V93" s="326"/>
      <c r="W93" s="326"/>
      <c r="X93" s="326"/>
      <c r="Y93" s="326"/>
      <c r="Z93" s="326"/>
      <c r="AA93" s="656"/>
      <c r="AB93" s="765"/>
      <c r="AC93" s="765"/>
      <c r="AD93" s="765"/>
      <c r="AE93" s="630"/>
    </row>
    <row r="94" spans="1:31" s="73" customFormat="1">
      <c r="A94" s="244"/>
      <c r="B94" s="248" t="s">
        <v>116</v>
      </c>
      <c r="C94" s="256">
        <v>0</v>
      </c>
      <c r="D94" s="257">
        <v>0</v>
      </c>
      <c r="E94" s="257">
        <v>0</v>
      </c>
      <c r="F94" s="257">
        <v>0</v>
      </c>
      <c r="G94" s="257">
        <v>0</v>
      </c>
      <c r="H94" s="257">
        <v>0</v>
      </c>
      <c r="I94" s="256">
        <v>0</v>
      </c>
      <c r="J94" s="256">
        <v>0</v>
      </c>
      <c r="K94" s="257">
        <v>0</v>
      </c>
      <c r="L94" s="257">
        <v>0</v>
      </c>
      <c r="M94" s="257">
        <v>0</v>
      </c>
      <c r="N94" s="256">
        <v>0</v>
      </c>
      <c r="O94" s="652">
        <v>0</v>
      </c>
      <c r="P94" s="257">
        <v>0</v>
      </c>
      <c r="Q94" s="256">
        <v>0</v>
      </c>
      <c r="R94" s="256">
        <v>0</v>
      </c>
      <c r="S94" s="256">
        <v>0</v>
      </c>
      <c r="T94" s="327">
        <v>0</v>
      </c>
      <c r="U94" s="327">
        <v>0</v>
      </c>
      <c r="V94" s="327">
        <v>0</v>
      </c>
      <c r="W94" s="327">
        <v>0</v>
      </c>
      <c r="X94" s="327">
        <v>0</v>
      </c>
      <c r="Y94" s="327">
        <v>0</v>
      </c>
      <c r="Z94" s="327">
        <v>0</v>
      </c>
      <c r="AA94" s="655">
        <v>0</v>
      </c>
      <c r="AB94" s="766"/>
      <c r="AC94" s="766"/>
      <c r="AD94" s="766"/>
      <c r="AE94" s="630"/>
    </row>
    <row r="95" spans="1:31" s="73" customFormat="1">
      <c r="A95" s="244"/>
      <c r="B95" s="245" t="s">
        <v>104</v>
      </c>
      <c r="C95" s="246">
        <v>6522.6875</v>
      </c>
      <c r="D95" s="247">
        <v>2199.875</v>
      </c>
      <c r="E95" s="247">
        <v>2422.1458333333335</v>
      </c>
      <c r="F95" s="247">
        <v>4687.4166666666661</v>
      </c>
      <c r="G95" s="247"/>
      <c r="H95" s="247">
        <v>80.708333333333329</v>
      </c>
      <c r="I95" s="246">
        <v>15912.833333333334</v>
      </c>
      <c r="J95" s="246"/>
      <c r="K95" s="247">
        <v>0</v>
      </c>
      <c r="L95" s="247">
        <v>0</v>
      </c>
      <c r="M95" s="247">
        <v>0</v>
      </c>
      <c r="N95" s="246">
        <v>0</v>
      </c>
      <c r="O95" s="328"/>
      <c r="P95" s="247"/>
      <c r="Q95" s="246"/>
      <c r="R95" s="246"/>
      <c r="S95" s="246"/>
      <c r="T95" s="326"/>
      <c r="U95" s="326"/>
      <c r="V95" s="326"/>
      <c r="W95" s="326"/>
      <c r="X95" s="326"/>
      <c r="Y95" s="326"/>
      <c r="Z95" s="326"/>
      <c r="AA95" s="656"/>
      <c r="AB95" s="765"/>
      <c r="AC95" s="765"/>
      <c r="AD95" s="765"/>
      <c r="AE95" s="630"/>
    </row>
    <row r="96" spans="1:31" s="73" customFormat="1">
      <c r="A96" s="244"/>
      <c r="B96" s="245" t="s">
        <v>106</v>
      </c>
      <c r="C96" s="246">
        <v>6619.708333333333</v>
      </c>
      <c r="D96" s="247">
        <v>2271.7083333333335</v>
      </c>
      <c r="E96" s="247">
        <v>2396.625</v>
      </c>
      <c r="F96" s="247">
        <v>4828.5416666666661</v>
      </c>
      <c r="G96" s="247"/>
      <c r="H96" s="247">
        <v>65.708333333333329</v>
      </c>
      <c r="I96" s="246">
        <v>16182.291666666666</v>
      </c>
      <c r="J96" s="246"/>
      <c r="K96" s="247">
        <v>0</v>
      </c>
      <c r="L96" s="247">
        <v>0</v>
      </c>
      <c r="M96" s="247">
        <v>0</v>
      </c>
      <c r="N96" s="246">
        <v>0</v>
      </c>
      <c r="O96" s="328"/>
      <c r="P96" s="247"/>
      <c r="Q96" s="246"/>
      <c r="R96" s="246"/>
      <c r="S96" s="246"/>
      <c r="T96" s="326"/>
      <c r="U96" s="326"/>
      <c r="V96" s="326"/>
      <c r="W96" s="326"/>
      <c r="X96" s="326"/>
      <c r="Y96" s="326"/>
      <c r="Z96" s="326"/>
      <c r="AA96" s="656"/>
      <c r="AB96" s="765"/>
      <c r="AC96" s="765"/>
      <c r="AD96" s="765"/>
      <c r="AE96" s="630"/>
    </row>
    <row r="97" spans="1:31" s="73" customFormat="1">
      <c r="A97" s="244"/>
      <c r="B97" s="248" t="s">
        <v>108</v>
      </c>
      <c r="C97" s="256">
        <v>1.4874364797230134E-2</v>
      </c>
      <c r="D97" s="257">
        <v>3.2653370456654805E-2</v>
      </c>
      <c r="E97" s="257">
        <v>-1.0536456138238367E-2</v>
      </c>
      <c r="F97" s="257">
        <v>3.0107201905811662E-2</v>
      </c>
      <c r="G97" s="257">
        <v>0</v>
      </c>
      <c r="H97" s="257">
        <v>-0.18585441404233352</v>
      </c>
      <c r="I97" s="256">
        <v>1.6933397572189965E-2</v>
      </c>
      <c r="J97" s="256">
        <v>0</v>
      </c>
      <c r="K97" s="257">
        <v>0</v>
      </c>
      <c r="L97" s="257">
        <v>0</v>
      </c>
      <c r="M97" s="257">
        <v>0</v>
      </c>
      <c r="N97" s="256">
        <v>0</v>
      </c>
      <c r="O97" s="652">
        <v>0</v>
      </c>
      <c r="P97" s="257">
        <v>0</v>
      </c>
      <c r="Q97" s="256">
        <v>0</v>
      </c>
      <c r="R97" s="256">
        <v>0</v>
      </c>
      <c r="S97" s="256">
        <v>0</v>
      </c>
      <c r="T97" s="327">
        <v>0</v>
      </c>
      <c r="U97" s="327">
        <v>0</v>
      </c>
      <c r="V97" s="327">
        <v>0</v>
      </c>
      <c r="W97" s="327">
        <v>0</v>
      </c>
      <c r="X97" s="327">
        <v>0</v>
      </c>
      <c r="Y97" s="327">
        <v>0</v>
      </c>
      <c r="Z97" s="327">
        <v>0</v>
      </c>
      <c r="AA97" s="655">
        <v>0</v>
      </c>
      <c r="AB97" s="766"/>
      <c r="AC97" s="766"/>
      <c r="AD97" s="766"/>
      <c r="AE97" s="630"/>
    </row>
    <row r="98" spans="1:31" s="73" customFormat="1">
      <c r="A98" s="244"/>
      <c r="B98" s="245" t="s">
        <v>9</v>
      </c>
      <c r="C98" s="246">
        <v>33163.287499999999</v>
      </c>
      <c r="D98" s="247">
        <v>17921.224999999999</v>
      </c>
      <c r="E98" s="247">
        <v>19312.662499999999</v>
      </c>
      <c r="F98" s="247">
        <v>30193.883333333335</v>
      </c>
      <c r="G98" s="247"/>
      <c r="H98" s="247">
        <v>2175.1916666666666</v>
      </c>
      <c r="I98" s="246">
        <v>102766.24999999999</v>
      </c>
      <c r="J98" s="246"/>
      <c r="K98" s="247">
        <v>69967.32666666666</v>
      </c>
      <c r="L98" s="247">
        <v>24506.716666666667</v>
      </c>
      <c r="M98" s="247">
        <v>4122.5749999999998</v>
      </c>
      <c r="N98" s="246">
        <v>98596.618333333332</v>
      </c>
      <c r="O98" s="328"/>
      <c r="P98" s="247"/>
      <c r="Q98" s="246"/>
      <c r="R98" s="246"/>
      <c r="S98" s="246"/>
      <c r="T98" s="326"/>
      <c r="U98" s="326"/>
      <c r="V98" s="326"/>
      <c r="W98" s="326"/>
      <c r="X98" s="326"/>
      <c r="Y98" s="326"/>
      <c r="Z98" s="326"/>
      <c r="AA98" s="656"/>
      <c r="AB98" s="765"/>
      <c r="AC98" s="765"/>
      <c r="AD98" s="765"/>
      <c r="AE98" s="630"/>
    </row>
    <row r="99" spans="1:31" s="73" customFormat="1">
      <c r="A99" s="244"/>
      <c r="B99" s="245" t="s">
        <v>110</v>
      </c>
      <c r="C99" s="246">
        <v>33284.341666666667</v>
      </c>
      <c r="D99" s="247">
        <v>18565.808333333334</v>
      </c>
      <c r="E99" s="247">
        <v>19273.508333333335</v>
      </c>
      <c r="F99" s="247">
        <v>30448.625</v>
      </c>
      <c r="G99" s="247"/>
      <c r="H99" s="247">
        <v>2237.4583333333335</v>
      </c>
      <c r="I99" s="246">
        <v>103809.74166666667</v>
      </c>
      <c r="J99" s="246"/>
      <c r="K99" s="247">
        <v>70204.950000000012</v>
      </c>
      <c r="L99" s="247">
        <v>24798.749999999996</v>
      </c>
      <c r="M99" s="247">
        <v>4195.625</v>
      </c>
      <c r="N99" s="246">
        <v>99199.325000000012</v>
      </c>
      <c r="O99" s="328"/>
      <c r="P99" s="247"/>
      <c r="Q99" s="246"/>
      <c r="R99" s="246"/>
      <c r="S99" s="246"/>
      <c r="T99" s="326"/>
      <c r="U99" s="326"/>
      <c r="V99" s="326"/>
      <c r="W99" s="326"/>
      <c r="X99" s="326"/>
      <c r="Y99" s="326"/>
      <c r="Z99" s="326"/>
      <c r="AA99" s="656"/>
      <c r="AB99" s="765"/>
      <c r="AC99" s="765"/>
      <c r="AD99" s="765"/>
      <c r="AE99" s="630"/>
    </row>
    <row r="100" spans="1:31" s="73" customFormat="1">
      <c r="A100" s="249"/>
      <c r="B100" s="325" t="s">
        <v>112</v>
      </c>
      <c r="C100" s="256">
        <v>3.6502462750916541E-3</v>
      </c>
      <c r="D100" s="257">
        <v>3.5967593361131048E-2</v>
      </c>
      <c r="E100" s="257">
        <v>-2.0273831568621632E-3</v>
      </c>
      <c r="F100" s="257">
        <v>8.4368633161351642E-3</v>
      </c>
      <c r="G100" s="257">
        <v>0</v>
      </c>
      <c r="H100" s="257">
        <v>2.8625829907709382E-2</v>
      </c>
      <c r="I100" s="256">
        <v>1.0154030789939832E-2</v>
      </c>
      <c r="J100" s="256">
        <v>0</v>
      </c>
      <c r="K100" s="257">
        <v>3.3962042663916443E-3</v>
      </c>
      <c r="L100" s="257">
        <v>1.1916460997427068E-2</v>
      </c>
      <c r="M100" s="257">
        <v>1.7719507831876966E-2</v>
      </c>
      <c r="N100" s="256">
        <v>6.112853329604988E-3</v>
      </c>
      <c r="O100" s="652">
        <v>0</v>
      </c>
      <c r="P100" s="257">
        <v>0</v>
      </c>
      <c r="Q100" s="256">
        <v>0</v>
      </c>
      <c r="R100" s="256">
        <v>0</v>
      </c>
      <c r="S100" s="256">
        <v>0</v>
      </c>
      <c r="T100" s="327">
        <v>0</v>
      </c>
      <c r="U100" s="327">
        <v>0</v>
      </c>
      <c r="V100" s="327">
        <v>0</v>
      </c>
      <c r="W100" s="327">
        <v>0</v>
      </c>
      <c r="X100" s="327">
        <v>0</v>
      </c>
      <c r="Y100" s="327">
        <v>0</v>
      </c>
      <c r="Z100" s="327">
        <v>0</v>
      </c>
      <c r="AA100" s="655">
        <v>0</v>
      </c>
      <c r="AB100" s="766"/>
      <c r="AC100" s="766"/>
      <c r="AD100" s="766"/>
      <c r="AE100" s="630"/>
    </row>
    <row r="101" spans="1:31" s="73" customFormat="1">
      <c r="A101" s="638" t="s">
        <v>162</v>
      </c>
      <c r="B101" s="636" t="s">
        <v>102</v>
      </c>
      <c r="C101" s="633">
        <v>25369.5</v>
      </c>
      <c r="D101" s="637">
        <v>19241.166666666664</v>
      </c>
      <c r="E101" s="637"/>
      <c r="F101" s="637">
        <v>7611.8000000000011</v>
      </c>
      <c r="G101" s="637">
        <v>2100.8000000000002</v>
      </c>
      <c r="H101" s="637"/>
      <c r="I101" s="633">
        <v>54323.26666666667</v>
      </c>
      <c r="J101" s="633"/>
      <c r="K101" s="637">
        <v>34868.166666666664</v>
      </c>
      <c r="L101" s="637">
        <v>35043.466666666674</v>
      </c>
      <c r="M101" s="637">
        <v>3999.166666666667</v>
      </c>
      <c r="N101" s="633">
        <v>73910.8</v>
      </c>
      <c r="O101" s="633"/>
      <c r="P101" s="637"/>
      <c r="Q101" s="633"/>
      <c r="R101" s="633"/>
      <c r="S101" s="633"/>
      <c r="T101" s="645"/>
      <c r="U101" s="645"/>
      <c r="V101" s="645"/>
      <c r="W101" s="645"/>
      <c r="X101" s="645"/>
      <c r="Y101" s="645"/>
      <c r="Z101" s="645"/>
      <c r="AA101" s="653"/>
      <c r="AB101" s="765"/>
      <c r="AC101" s="765"/>
      <c r="AD101" s="765"/>
      <c r="AE101" s="630"/>
    </row>
    <row r="102" spans="1:31" s="73" customFormat="1">
      <c r="A102" s="244"/>
      <c r="B102" s="245" t="s">
        <v>100</v>
      </c>
      <c r="C102" s="246">
        <v>26344.1</v>
      </c>
      <c r="D102" s="247">
        <v>20476.849999999999</v>
      </c>
      <c r="E102" s="247"/>
      <c r="F102" s="247">
        <v>7725.4000000000005</v>
      </c>
      <c r="G102" s="247">
        <v>2254.1333333333332</v>
      </c>
      <c r="H102" s="247"/>
      <c r="I102" s="246">
        <v>56800.48333333333</v>
      </c>
      <c r="J102" s="246"/>
      <c r="K102" s="247">
        <v>33757.566666666666</v>
      </c>
      <c r="L102" s="247">
        <v>34043.916666666672</v>
      </c>
      <c r="M102" s="247">
        <v>4316.0666666666666</v>
      </c>
      <c r="N102" s="246">
        <v>72117.55</v>
      </c>
      <c r="O102" s="246"/>
      <c r="P102" s="247"/>
      <c r="Q102" s="246"/>
      <c r="R102" s="246"/>
      <c r="S102" s="246"/>
      <c r="T102" s="326"/>
      <c r="U102" s="326"/>
      <c r="V102" s="326"/>
      <c r="W102" s="326"/>
      <c r="X102" s="326"/>
      <c r="Y102" s="326"/>
      <c r="Z102" s="326"/>
      <c r="AA102" s="654"/>
      <c r="AB102" s="765"/>
      <c r="AC102" s="765"/>
      <c r="AD102" s="765"/>
      <c r="AE102" s="630"/>
    </row>
    <row r="103" spans="1:31" s="73" customFormat="1">
      <c r="A103" s="244"/>
      <c r="B103" s="248" t="s">
        <v>114</v>
      </c>
      <c r="C103" s="256">
        <v>3.8416208439267567E-2</v>
      </c>
      <c r="D103" s="257">
        <v>6.4220811281367265E-2</v>
      </c>
      <c r="E103" s="257">
        <v>0</v>
      </c>
      <c r="F103" s="257">
        <v>1.4924196642055682E-2</v>
      </c>
      <c r="G103" s="257">
        <v>7.2988068037572837E-2</v>
      </c>
      <c r="H103" s="257">
        <v>0</v>
      </c>
      <c r="I103" s="256">
        <v>4.560139363243975E-2</v>
      </c>
      <c r="J103" s="256">
        <v>0</v>
      </c>
      <c r="K103" s="663">
        <v>-3.1851402186330376E-2</v>
      </c>
      <c r="L103" s="663">
        <v>-2.8523148394755542E-2</v>
      </c>
      <c r="M103" s="663">
        <v>7.9241508647634823E-2</v>
      </c>
      <c r="N103" s="256">
        <v>-2.426235408086504E-2</v>
      </c>
      <c r="O103" s="652">
        <v>0</v>
      </c>
      <c r="P103" s="257">
        <v>0</v>
      </c>
      <c r="Q103" s="256">
        <v>0</v>
      </c>
      <c r="R103" s="256">
        <v>0</v>
      </c>
      <c r="S103" s="256">
        <v>0</v>
      </c>
      <c r="T103" s="327">
        <v>0</v>
      </c>
      <c r="U103" s="327">
        <v>0</v>
      </c>
      <c r="V103" s="327">
        <v>0</v>
      </c>
      <c r="W103" s="327">
        <v>0</v>
      </c>
      <c r="X103" s="327">
        <v>0</v>
      </c>
      <c r="Y103" s="327">
        <v>0</v>
      </c>
      <c r="Z103" s="327">
        <v>0</v>
      </c>
      <c r="AA103" s="655">
        <v>0</v>
      </c>
      <c r="AB103" s="766"/>
      <c r="AC103" s="766"/>
      <c r="AD103" s="766"/>
      <c r="AE103" s="630"/>
    </row>
    <row r="104" spans="1:31" s="73" customFormat="1">
      <c r="A104" s="244"/>
      <c r="B104" s="245" t="s">
        <v>98</v>
      </c>
      <c r="C104" s="246">
        <v>0</v>
      </c>
      <c r="D104" s="247">
        <v>0</v>
      </c>
      <c r="E104" s="247"/>
      <c r="F104" s="247">
        <v>0</v>
      </c>
      <c r="G104" s="247">
        <v>0</v>
      </c>
      <c r="H104" s="247"/>
      <c r="I104" s="246">
        <v>0</v>
      </c>
      <c r="J104" s="246"/>
      <c r="K104" s="247">
        <v>0</v>
      </c>
      <c r="L104" s="247">
        <v>0</v>
      </c>
      <c r="M104" s="247">
        <v>0</v>
      </c>
      <c r="N104" s="246">
        <v>0</v>
      </c>
      <c r="O104" s="328"/>
      <c r="P104" s="247"/>
      <c r="Q104" s="246"/>
      <c r="R104" s="246"/>
      <c r="S104" s="246"/>
      <c r="T104" s="326"/>
      <c r="U104" s="326"/>
      <c r="V104" s="326"/>
      <c r="W104" s="326"/>
      <c r="X104" s="326"/>
      <c r="Y104" s="326"/>
      <c r="Z104" s="326"/>
      <c r="AA104" s="656"/>
      <c r="AB104" s="765"/>
      <c r="AC104" s="765"/>
      <c r="AD104" s="765"/>
      <c r="AE104" s="630"/>
    </row>
    <row r="105" spans="1:31" s="73" customFormat="1">
      <c r="A105" s="244"/>
      <c r="B105" s="245" t="s">
        <v>96</v>
      </c>
      <c r="C105" s="246">
        <v>0</v>
      </c>
      <c r="D105" s="247">
        <v>0</v>
      </c>
      <c r="E105" s="247"/>
      <c r="F105" s="247">
        <v>0</v>
      </c>
      <c r="G105" s="247">
        <v>0</v>
      </c>
      <c r="H105" s="247"/>
      <c r="I105" s="246">
        <v>0</v>
      </c>
      <c r="J105" s="246"/>
      <c r="K105" s="247">
        <v>0</v>
      </c>
      <c r="L105" s="247">
        <v>0</v>
      </c>
      <c r="M105" s="247">
        <v>0</v>
      </c>
      <c r="N105" s="246">
        <v>0</v>
      </c>
      <c r="O105" s="328"/>
      <c r="P105" s="247"/>
      <c r="Q105" s="246"/>
      <c r="R105" s="246"/>
      <c r="S105" s="246"/>
      <c r="T105" s="326"/>
      <c r="U105" s="326"/>
      <c r="V105" s="326"/>
      <c r="W105" s="326"/>
      <c r="X105" s="326"/>
      <c r="Y105" s="326"/>
      <c r="Z105" s="326"/>
      <c r="AA105" s="656"/>
      <c r="AB105" s="765"/>
      <c r="AC105" s="765"/>
      <c r="AD105" s="765"/>
      <c r="AE105" s="630"/>
    </row>
    <row r="106" spans="1:31" s="73" customFormat="1">
      <c r="A106" s="244"/>
      <c r="B106" s="248" t="s">
        <v>116</v>
      </c>
      <c r="C106" s="256">
        <v>0</v>
      </c>
      <c r="D106" s="257">
        <v>0</v>
      </c>
      <c r="E106" s="257">
        <v>0</v>
      </c>
      <c r="F106" s="257">
        <v>0</v>
      </c>
      <c r="G106" s="257">
        <v>0</v>
      </c>
      <c r="H106" s="257">
        <v>0</v>
      </c>
      <c r="I106" s="256">
        <v>0</v>
      </c>
      <c r="J106" s="256">
        <v>0</v>
      </c>
      <c r="K106" s="257">
        <v>0</v>
      </c>
      <c r="L106" s="257">
        <v>0</v>
      </c>
      <c r="M106" s="257">
        <v>0</v>
      </c>
      <c r="N106" s="256">
        <v>0</v>
      </c>
      <c r="O106" s="652">
        <v>0</v>
      </c>
      <c r="P106" s="257">
        <v>0</v>
      </c>
      <c r="Q106" s="256">
        <v>0</v>
      </c>
      <c r="R106" s="256">
        <v>0</v>
      </c>
      <c r="S106" s="256">
        <v>0</v>
      </c>
      <c r="T106" s="327">
        <v>0</v>
      </c>
      <c r="U106" s="327">
        <v>0</v>
      </c>
      <c r="V106" s="327">
        <v>0</v>
      </c>
      <c r="W106" s="327">
        <v>0</v>
      </c>
      <c r="X106" s="327">
        <v>0</v>
      </c>
      <c r="Y106" s="327">
        <v>0</v>
      </c>
      <c r="Z106" s="327">
        <v>0</v>
      </c>
      <c r="AA106" s="655">
        <v>0</v>
      </c>
      <c r="AB106" s="766"/>
      <c r="AC106" s="766"/>
      <c r="AD106" s="766"/>
      <c r="AE106" s="630"/>
    </row>
    <row r="107" spans="1:31" s="73" customFormat="1">
      <c r="A107" s="244"/>
      <c r="B107" s="245" t="s">
        <v>104</v>
      </c>
      <c r="C107" s="246">
        <v>5171.0416666666661</v>
      </c>
      <c r="D107" s="247">
        <v>3656.791666666667</v>
      </c>
      <c r="E107" s="247"/>
      <c r="F107" s="247">
        <v>1596.2500000000002</v>
      </c>
      <c r="G107" s="247">
        <v>187.54166666666666</v>
      </c>
      <c r="H107" s="247"/>
      <c r="I107" s="246">
        <v>10611.624999999998</v>
      </c>
      <c r="J107" s="246"/>
      <c r="K107" s="247">
        <v>0</v>
      </c>
      <c r="L107" s="247">
        <v>0</v>
      </c>
      <c r="M107" s="247">
        <v>0</v>
      </c>
      <c r="N107" s="246">
        <v>0</v>
      </c>
      <c r="O107" s="328"/>
      <c r="P107" s="247"/>
      <c r="Q107" s="246"/>
      <c r="R107" s="246"/>
      <c r="S107" s="246"/>
      <c r="T107" s="326"/>
      <c r="U107" s="326"/>
      <c r="V107" s="326"/>
      <c r="W107" s="326"/>
      <c r="X107" s="326"/>
      <c r="Y107" s="326"/>
      <c r="Z107" s="326"/>
      <c r="AA107" s="656"/>
      <c r="AB107" s="765"/>
      <c r="AC107" s="765"/>
      <c r="AD107" s="765"/>
      <c r="AE107" s="630"/>
    </row>
    <row r="108" spans="1:31" s="73" customFormat="1">
      <c r="A108" s="244"/>
      <c r="B108" s="245" t="s">
        <v>106</v>
      </c>
      <c r="C108" s="246">
        <v>5135.3333333333339</v>
      </c>
      <c r="D108" s="247">
        <v>3872</v>
      </c>
      <c r="E108" s="247"/>
      <c r="F108" s="247">
        <v>1749.9583333333335</v>
      </c>
      <c r="G108" s="247">
        <v>177.5</v>
      </c>
      <c r="H108" s="247"/>
      <c r="I108" s="246">
        <v>10934.791666666668</v>
      </c>
      <c r="J108" s="246"/>
      <c r="K108" s="247">
        <v>0</v>
      </c>
      <c r="L108" s="247">
        <v>0</v>
      </c>
      <c r="M108" s="247">
        <v>0</v>
      </c>
      <c r="N108" s="246">
        <v>0</v>
      </c>
      <c r="O108" s="328"/>
      <c r="P108" s="247"/>
      <c r="Q108" s="246"/>
      <c r="R108" s="246"/>
      <c r="S108" s="246"/>
      <c r="T108" s="326"/>
      <c r="U108" s="326"/>
      <c r="V108" s="326"/>
      <c r="W108" s="326"/>
      <c r="X108" s="326"/>
      <c r="Y108" s="326"/>
      <c r="Z108" s="326"/>
      <c r="AA108" s="656"/>
      <c r="AB108" s="765"/>
      <c r="AC108" s="765"/>
      <c r="AD108" s="765"/>
      <c r="AE108" s="630"/>
    </row>
    <row r="109" spans="1:31" s="73" customFormat="1">
      <c r="A109" s="244"/>
      <c r="B109" s="248" t="s">
        <v>108</v>
      </c>
      <c r="C109" s="256">
        <v>-6.9054429716769753E-3</v>
      </c>
      <c r="D109" s="257">
        <v>5.8851680092977587E-2</v>
      </c>
      <c r="E109" s="257">
        <v>0</v>
      </c>
      <c r="F109" s="663">
        <v>9.6293395980161775E-2</v>
      </c>
      <c r="G109" s="257">
        <v>-5.3543656965118813E-2</v>
      </c>
      <c r="H109" s="257">
        <v>0</v>
      </c>
      <c r="I109" s="256">
        <v>3.0454022514616728E-2</v>
      </c>
      <c r="J109" s="256">
        <v>0</v>
      </c>
      <c r="K109" s="257">
        <v>0</v>
      </c>
      <c r="L109" s="257">
        <v>0</v>
      </c>
      <c r="M109" s="257">
        <v>0</v>
      </c>
      <c r="N109" s="256">
        <v>0</v>
      </c>
      <c r="O109" s="652">
        <v>0</v>
      </c>
      <c r="P109" s="257">
        <v>0</v>
      </c>
      <c r="Q109" s="256">
        <v>0</v>
      </c>
      <c r="R109" s="256">
        <v>0</v>
      </c>
      <c r="S109" s="256">
        <v>0</v>
      </c>
      <c r="T109" s="327">
        <v>0</v>
      </c>
      <c r="U109" s="327">
        <v>0</v>
      </c>
      <c r="V109" s="327">
        <v>0</v>
      </c>
      <c r="W109" s="327">
        <v>0</v>
      </c>
      <c r="X109" s="327">
        <v>0</v>
      </c>
      <c r="Y109" s="327">
        <v>0</v>
      </c>
      <c r="Z109" s="327">
        <v>0</v>
      </c>
      <c r="AA109" s="655">
        <v>0</v>
      </c>
      <c r="AB109" s="766"/>
      <c r="AC109" s="766"/>
      <c r="AD109" s="766"/>
      <c r="AE109" s="630"/>
    </row>
    <row r="110" spans="1:31" s="73" customFormat="1">
      <c r="A110" s="244"/>
      <c r="B110" s="245" t="s">
        <v>9</v>
      </c>
      <c r="C110" s="246">
        <v>30540.541666666668</v>
      </c>
      <c r="D110" s="247">
        <v>22897.958333333332</v>
      </c>
      <c r="E110" s="247"/>
      <c r="F110" s="247">
        <v>9208.0499999999993</v>
      </c>
      <c r="G110" s="247">
        <v>2288.3416666666667</v>
      </c>
      <c r="H110" s="247"/>
      <c r="I110" s="246">
        <v>64934.89166666667</v>
      </c>
      <c r="J110" s="246"/>
      <c r="K110" s="247">
        <v>34868.166666666664</v>
      </c>
      <c r="L110" s="247">
        <v>35043.466666666674</v>
      </c>
      <c r="M110" s="247">
        <v>3999.166666666667</v>
      </c>
      <c r="N110" s="246">
        <v>73910.8</v>
      </c>
      <c r="O110" s="328"/>
      <c r="P110" s="247"/>
      <c r="Q110" s="246"/>
      <c r="R110" s="246"/>
      <c r="S110" s="246"/>
      <c r="T110" s="326"/>
      <c r="U110" s="326"/>
      <c r="V110" s="326"/>
      <c r="W110" s="326"/>
      <c r="X110" s="326"/>
      <c r="Y110" s="326"/>
      <c r="Z110" s="326"/>
      <c r="AA110" s="656"/>
      <c r="AB110" s="765"/>
      <c r="AC110" s="765"/>
      <c r="AD110" s="765"/>
      <c r="AE110" s="630"/>
    </row>
    <row r="111" spans="1:31" s="73" customFormat="1">
      <c r="A111" s="244"/>
      <c r="B111" s="245" t="s">
        <v>110</v>
      </c>
      <c r="C111" s="246">
        <v>31479.433333333334</v>
      </c>
      <c r="D111" s="247">
        <v>24348.850000000002</v>
      </c>
      <c r="E111" s="247"/>
      <c r="F111" s="247">
        <v>9475.3583333333336</v>
      </c>
      <c r="G111" s="247">
        <v>2431.6333333333332</v>
      </c>
      <c r="H111" s="247"/>
      <c r="I111" s="246">
        <v>67735.275000000009</v>
      </c>
      <c r="J111" s="246"/>
      <c r="K111" s="247">
        <v>33757.566666666666</v>
      </c>
      <c r="L111" s="247">
        <v>34043.916666666672</v>
      </c>
      <c r="M111" s="247">
        <v>4316.0666666666666</v>
      </c>
      <c r="N111" s="246">
        <v>72117.55</v>
      </c>
      <c r="O111" s="328"/>
      <c r="P111" s="247"/>
      <c r="Q111" s="246"/>
      <c r="R111" s="246"/>
      <c r="S111" s="246"/>
      <c r="T111" s="326"/>
      <c r="U111" s="326"/>
      <c r="V111" s="326"/>
      <c r="W111" s="326"/>
      <c r="X111" s="326"/>
      <c r="Y111" s="326"/>
      <c r="Z111" s="326"/>
      <c r="AA111" s="656"/>
      <c r="AB111" s="765"/>
      <c r="AC111" s="765"/>
      <c r="AD111" s="765"/>
      <c r="AE111" s="630"/>
    </row>
    <row r="112" spans="1:31" s="73" customFormat="1">
      <c r="A112" s="249"/>
      <c r="B112" s="325" t="s">
        <v>112</v>
      </c>
      <c r="C112" s="256">
        <v>3.0742469367903039E-2</v>
      </c>
      <c r="D112" s="257">
        <v>6.3363363909810164E-2</v>
      </c>
      <c r="E112" s="257">
        <v>0</v>
      </c>
      <c r="F112" s="257">
        <v>2.9029852502249046E-2</v>
      </c>
      <c r="G112" s="257">
        <v>6.2618125935448091E-2</v>
      </c>
      <c r="H112" s="257">
        <v>0</v>
      </c>
      <c r="I112" s="256">
        <v>4.3126018407925862E-2</v>
      </c>
      <c r="J112" s="256">
        <v>0</v>
      </c>
      <c r="K112" s="257">
        <v>-3.1851402186330376E-2</v>
      </c>
      <c r="L112" s="257">
        <v>-2.8523148394755542E-2</v>
      </c>
      <c r="M112" s="257">
        <v>7.9241508647634823E-2</v>
      </c>
      <c r="N112" s="256">
        <v>-2.426235408086504E-2</v>
      </c>
      <c r="O112" s="652">
        <v>0</v>
      </c>
      <c r="P112" s="257">
        <v>0</v>
      </c>
      <c r="Q112" s="256">
        <v>0</v>
      </c>
      <c r="R112" s="256">
        <v>0</v>
      </c>
      <c r="S112" s="256">
        <v>0</v>
      </c>
      <c r="T112" s="327">
        <v>0</v>
      </c>
      <c r="U112" s="327">
        <v>0</v>
      </c>
      <c r="V112" s="327">
        <v>0</v>
      </c>
      <c r="W112" s="327">
        <v>0</v>
      </c>
      <c r="X112" s="327">
        <v>0</v>
      </c>
      <c r="Y112" s="327">
        <v>0</v>
      </c>
      <c r="Z112" s="327">
        <v>0</v>
      </c>
      <c r="AA112" s="655">
        <v>0</v>
      </c>
      <c r="AB112" s="766"/>
      <c r="AC112" s="766"/>
      <c r="AD112" s="766"/>
      <c r="AE112" s="630"/>
    </row>
    <row r="113" spans="1:31" s="73" customFormat="1">
      <c r="A113" s="638" t="s">
        <v>159</v>
      </c>
      <c r="B113" s="636" t="s">
        <v>102</v>
      </c>
      <c r="C113" s="633">
        <v>54967.73333333333</v>
      </c>
      <c r="D113" s="637">
        <v>18363.733333333334</v>
      </c>
      <c r="E113" s="637">
        <v>68819.133333333331</v>
      </c>
      <c r="F113" s="637">
        <v>4827.6333333333332</v>
      </c>
      <c r="G113" s="637">
        <v>11428.3</v>
      </c>
      <c r="H113" s="637">
        <v>6750.5333333333328</v>
      </c>
      <c r="I113" s="633">
        <v>165157.06666666662</v>
      </c>
      <c r="J113" s="633"/>
      <c r="K113" s="637">
        <v>80872.533333333326</v>
      </c>
      <c r="L113" s="637">
        <v>70944.066666666666</v>
      </c>
      <c r="M113" s="637">
        <v>29508.333333333332</v>
      </c>
      <c r="N113" s="633">
        <v>181324.93333333332</v>
      </c>
      <c r="O113" s="633"/>
      <c r="P113" s="637"/>
      <c r="Q113" s="633"/>
      <c r="R113" s="633"/>
      <c r="S113" s="633"/>
      <c r="T113" s="645"/>
      <c r="U113" s="645"/>
      <c r="V113" s="645"/>
      <c r="W113" s="645"/>
      <c r="X113" s="645"/>
      <c r="Y113" s="645"/>
      <c r="Z113" s="645"/>
      <c r="AA113" s="653"/>
      <c r="AB113" s="765"/>
      <c r="AC113" s="765"/>
      <c r="AD113" s="765"/>
      <c r="AE113" s="630"/>
    </row>
    <row r="114" spans="1:31" s="73" customFormat="1">
      <c r="A114" s="244"/>
      <c r="B114" s="245" t="s">
        <v>100</v>
      </c>
      <c r="C114" s="246">
        <v>55453.9</v>
      </c>
      <c r="D114" s="247">
        <v>18881.599999999999</v>
      </c>
      <c r="E114" s="247">
        <v>69643.766666666663</v>
      </c>
      <c r="F114" s="247">
        <v>4946.0666666666666</v>
      </c>
      <c r="G114" s="247">
        <v>10963.9</v>
      </c>
      <c r="H114" s="247">
        <v>6554.7333333333336</v>
      </c>
      <c r="I114" s="246">
        <v>166443.96666666667</v>
      </c>
      <c r="J114" s="246"/>
      <c r="K114" s="247">
        <v>83722</v>
      </c>
      <c r="L114" s="247">
        <v>68913.233333333337</v>
      </c>
      <c r="M114" s="247">
        <v>28417.5</v>
      </c>
      <c r="N114" s="246">
        <v>181052.73333333334</v>
      </c>
      <c r="O114" s="246"/>
      <c r="P114" s="247"/>
      <c r="Q114" s="246"/>
      <c r="R114" s="246"/>
      <c r="S114" s="246"/>
      <c r="T114" s="326"/>
      <c r="U114" s="326"/>
      <c r="V114" s="326"/>
      <c r="W114" s="326"/>
      <c r="X114" s="326"/>
      <c r="Y114" s="326"/>
      <c r="Z114" s="326"/>
      <c r="AA114" s="654"/>
      <c r="AB114" s="765"/>
      <c r="AC114" s="765"/>
      <c r="AD114" s="765"/>
      <c r="AE114" s="630"/>
    </row>
    <row r="115" spans="1:31" s="73" customFormat="1">
      <c r="A115" s="244"/>
      <c r="B115" s="248" t="s">
        <v>114</v>
      </c>
      <c r="C115" s="256">
        <v>8.8445827612806463E-3</v>
      </c>
      <c r="D115" s="257">
        <v>2.8200511152416265E-2</v>
      </c>
      <c r="E115" s="257">
        <v>1.198261723726054E-2</v>
      </c>
      <c r="F115" s="257">
        <v>2.4532379564866164E-2</v>
      </c>
      <c r="G115" s="663">
        <v>-4.0635965104171196E-2</v>
      </c>
      <c r="H115" s="257">
        <v>-2.9005115645183484E-2</v>
      </c>
      <c r="I115" s="256">
        <v>7.7919766073187673E-3</v>
      </c>
      <c r="J115" s="256">
        <v>0</v>
      </c>
      <c r="K115" s="663">
        <v>3.5234047323854593E-2</v>
      </c>
      <c r="L115" s="663">
        <v>-2.8625837631711674E-2</v>
      </c>
      <c r="M115" s="663">
        <v>-3.6966958486303263E-2</v>
      </c>
      <c r="N115" s="256">
        <v>-1.5011724807831382E-3</v>
      </c>
      <c r="O115" s="652">
        <v>0</v>
      </c>
      <c r="P115" s="257">
        <v>0</v>
      </c>
      <c r="Q115" s="256">
        <v>0</v>
      </c>
      <c r="R115" s="256">
        <v>0</v>
      </c>
      <c r="S115" s="256">
        <v>0</v>
      </c>
      <c r="T115" s="327">
        <v>0</v>
      </c>
      <c r="U115" s="327">
        <v>0</v>
      </c>
      <c r="V115" s="327">
        <v>0</v>
      </c>
      <c r="W115" s="327">
        <v>0</v>
      </c>
      <c r="X115" s="327">
        <v>0</v>
      </c>
      <c r="Y115" s="327">
        <v>0</v>
      </c>
      <c r="Z115" s="327">
        <v>0</v>
      </c>
      <c r="AA115" s="655">
        <v>0</v>
      </c>
      <c r="AB115" s="766"/>
      <c r="AC115" s="766"/>
      <c r="AD115" s="766"/>
      <c r="AE115" s="630"/>
    </row>
    <row r="116" spans="1:31" s="73" customFormat="1">
      <c r="A116" s="244"/>
      <c r="B116" s="245" t="s">
        <v>98</v>
      </c>
      <c r="C116" s="246">
        <v>0</v>
      </c>
      <c r="D116" s="247">
        <v>0</v>
      </c>
      <c r="E116" s="247">
        <v>0</v>
      </c>
      <c r="F116" s="247">
        <v>0</v>
      </c>
      <c r="G116" s="247">
        <v>0</v>
      </c>
      <c r="H116" s="247">
        <v>0</v>
      </c>
      <c r="I116" s="246">
        <v>0</v>
      </c>
      <c r="J116" s="246"/>
      <c r="K116" s="247">
        <v>0</v>
      </c>
      <c r="L116" s="247">
        <v>0</v>
      </c>
      <c r="M116" s="247">
        <v>0</v>
      </c>
      <c r="N116" s="246">
        <v>0</v>
      </c>
      <c r="O116" s="328"/>
      <c r="P116" s="247"/>
      <c r="Q116" s="246"/>
      <c r="R116" s="246"/>
      <c r="S116" s="246"/>
      <c r="T116" s="326"/>
      <c r="U116" s="326"/>
      <c r="V116" s="326"/>
      <c r="W116" s="326"/>
      <c r="X116" s="326"/>
      <c r="Y116" s="326"/>
      <c r="Z116" s="326"/>
      <c r="AA116" s="656"/>
      <c r="AB116" s="765"/>
      <c r="AC116" s="765"/>
      <c r="AD116" s="765"/>
      <c r="AE116" s="630"/>
    </row>
    <row r="117" spans="1:31" s="73" customFormat="1">
      <c r="A117" s="244"/>
      <c r="B117" s="245" t="s">
        <v>96</v>
      </c>
      <c r="C117" s="246">
        <v>0</v>
      </c>
      <c r="D117" s="247">
        <v>0</v>
      </c>
      <c r="E117" s="247">
        <v>0</v>
      </c>
      <c r="F117" s="247">
        <v>0</v>
      </c>
      <c r="G117" s="247">
        <v>0</v>
      </c>
      <c r="H117" s="247">
        <v>0</v>
      </c>
      <c r="I117" s="246">
        <v>0</v>
      </c>
      <c r="J117" s="246"/>
      <c r="K117" s="247">
        <v>0</v>
      </c>
      <c r="L117" s="247">
        <v>0</v>
      </c>
      <c r="M117" s="247">
        <v>0</v>
      </c>
      <c r="N117" s="246">
        <v>0</v>
      </c>
      <c r="O117" s="328"/>
      <c r="P117" s="247"/>
      <c r="Q117" s="246"/>
      <c r="R117" s="246"/>
      <c r="S117" s="246"/>
      <c r="T117" s="326"/>
      <c r="U117" s="326"/>
      <c r="V117" s="326"/>
      <c r="W117" s="326"/>
      <c r="X117" s="326"/>
      <c r="Y117" s="326"/>
      <c r="Z117" s="326"/>
      <c r="AA117" s="656"/>
      <c r="AB117" s="765"/>
      <c r="AC117" s="765"/>
      <c r="AD117" s="765"/>
      <c r="AE117" s="630"/>
    </row>
    <row r="118" spans="1:31" s="73" customFormat="1">
      <c r="A118" s="244"/>
      <c r="B118" s="248" t="s">
        <v>116</v>
      </c>
      <c r="C118" s="256">
        <v>0</v>
      </c>
      <c r="D118" s="257">
        <v>0</v>
      </c>
      <c r="E118" s="257">
        <v>0</v>
      </c>
      <c r="F118" s="257">
        <v>0</v>
      </c>
      <c r="G118" s="257">
        <v>0</v>
      </c>
      <c r="H118" s="257">
        <v>0</v>
      </c>
      <c r="I118" s="256">
        <v>0</v>
      </c>
      <c r="J118" s="256">
        <v>0</v>
      </c>
      <c r="K118" s="257">
        <v>0</v>
      </c>
      <c r="L118" s="257">
        <v>0</v>
      </c>
      <c r="M118" s="257">
        <v>0</v>
      </c>
      <c r="N118" s="256">
        <v>0</v>
      </c>
      <c r="O118" s="652">
        <v>0</v>
      </c>
      <c r="P118" s="257">
        <v>0</v>
      </c>
      <c r="Q118" s="256">
        <v>0</v>
      </c>
      <c r="R118" s="256">
        <v>0</v>
      </c>
      <c r="S118" s="256">
        <v>0</v>
      </c>
      <c r="T118" s="327">
        <v>0</v>
      </c>
      <c r="U118" s="327">
        <v>0</v>
      </c>
      <c r="V118" s="327">
        <v>0</v>
      </c>
      <c r="W118" s="327">
        <v>0</v>
      </c>
      <c r="X118" s="327">
        <v>0</v>
      </c>
      <c r="Y118" s="327">
        <v>0</v>
      </c>
      <c r="Z118" s="327">
        <v>0</v>
      </c>
      <c r="AA118" s="655">
        <v>0</v>
      </c>
      <c r="AB118" s="766"/>
      <c r="AC118" s="766"/>
      <c r="AD118" s="766"/>
      <c r="AE118" s="630"/>
    </row>
    <row r="119" spans="1:31" s="73" customFormat="1">
      <c r="A119" s="244"/>
      <c r="B119" s="245" t="s">
        <v>104</v>
      </c>
      <c r="C119" s="246">
        <v>16616.375</v>
      </c>
      <c r="D119" s="247">
        <v>3122.3333333333335</v>
      </c>
      <c r="E119" s="247">
        <v>11617.291666666666</v>
      </c>
      <c r="F119" s="247">
        <v>394.625</v>
      </c>
      <c r="G119" s="247">
        <v>911.5</v>
      </c>
      <c r="H119" s="247">
        <v>63.291666666666671</v>
      </c>
      <c r="I119" s="246">
        <v>32725.416666666668</v>
      </c>
      <c r="J119" s="246"/>
      <c r="K119" s="247">
        <v>0</v>
      </c>
      <c r="L119" s="247">
        <v>0</v>
      </c>
      <c r="M119" s="247">
        <v>0</v>
      </c>
      <c r="N119" s="246">
        <v>0</v>
      </c>
      <c r="O119" s="328"/>
      <c r="P119" s="247"/>
      <c r="Q119" s="246"/>
      <c r="R119" s="246"/>
      <c r="S119" s="246"/>
      <c r="T119" s="326"/>
      <c r="U119" s="326"/>
      <c r="V119" s="326"/>
      <c r="W119" s="326"/>
      <c r="X119" s="326"/>
      <c r="Y119" s="326"/>
      <c r="Z119" s="326"/>
      <c r="AA119" s="656"/>
      <c r="AB119" s="765"/>
      <c r="AC119" s="765"/>
      <c r="AD119" s="765"/>
      <c r="AE119" s="630"/>
    </row>
    <row r="120" spans="1:31" s="73" customFormat="1">
      <c r="A120" s="244"/>
      <c r="B120" s="245" t="s">
        <v>106</v>
      </c>
      <c r="C120" s="246">
        <v>16689.125</v>
      </c>
      <c r="D120" s="247">
        <v>2992.3333333333335</v>
      </c>
      <c r="E120" s="247">
        <v>11095.416666666666</v>
      </c>
      <c r="F120" s="247">
        <v>452</v>
      </c>
      <c r="G120" s="247">
        <v>959.5</v>
      </c>
      <c r="H120" s="247">
        <v>86.333333333333329</v>
      </c>
      <c r="I120" s="246">
        <v>32274.708333333332</v>
      </c>
      <c r="J120" s="246"/>
      <c r="K120" s="247">
        <v>0</v>
      </c>
      <c r="L120" s="247">
        <v>0</v>
      </c>
      <c r="M120" s="247">
        <v>0</v>
      </c>
      <c r="N120" s="246">
        <v>0</v>
      </c>
      <c r="O120" s="328"/>
      <c r="P120" s="247"/>
      <c r="Q120" s="246"/>
      <c r="R120" s="246"/>
      <c r="S120" s="246"/>
      <c r="T120" s="326"/>
      <c r="U120" s="326"/>
      <c r="V120" s="326"/>
      <c r="W120" s="326"/>
      <c r="X120" s="326"/>
      <c r="Y120" s="326"/>
      <c r="Z120" s="326"/>
      <c r="AA120" s="656"/>
      <c r="AB120" s="765"/>
      <c r="AC120" s="765"/>
      <c r="AD120" s="765"/>
      <c r="AE120" s="630"/>
    </row>
    <row r="121" spans="1:31" s="73" customFormat="1">
      <c r="A121" s="244"/>
      <c r="B121" s="248" t="s">
        <v>108</v>
      </c>
      <c r="C121" s="256">
        <v>4.3782112524542805E-3</v>
      </c>
      <c r="D121" s="663">
        <v>-4.163552898473364E-2</v>
      </c>
      <c r="E121" s="663">
        <v>-4.4922260280114056E-2</v>
      </c>
      <c r="F121" s="257">
        <v>0.14539119417168198</v>
      </c>
      <c r="G121" s="257">
        <v>5.2660449808008776E-2</v>
      </c>
      <c r="H121" s="257">
        <v>0.36405529953917032</v>
      </c>
      <c r="I121" s="256">
        <v>-1.3772424593524256E-2</v>
      </c>
      <c r="J121" s="256">
        <v>0</v>
      </c>
      <c r="K121" s="257">
        <v>0</v>
      </c>
      <c r="L121" s="257">
        <v>0</v>
      </c>
      <c r="M121" s="257">
        <v>0</v>
      </c>
      <c r="N121" s="256">
        <v>0</v>
      </c>
      <c r="O121" s="652">
        <v>0</v>
      </c>
      <c r="P121" s="257">
        <v>0</v>
      </c>
      <c r="Q121" s="256">
        <v>0</v>
      </c>
      <c r="R121" s="256">
        <v>0</v>
      </c>
      <c r="S121" s="256">
        <v>0</v>
      </c>
      <c r="T121" s="327">
        <v>0</v>
      </c>
      <c r="U121" s="327">
        <v>0</v>
      </c>
      <c r="V121" s="327">
        <v>0</v>
      </c>
      <c r="W121" s="327">
        <v>0</v>
      </c>
      <c r="X121" s="327">
        <v>0</v>
      </c>
      <c r="Y121" s="327">
        <v>0</v>
      </c>
      <c r="Z121" s="327">
        <v>0</v>
      </c>
      <c r="AA121" s="655">
        <v>0</v>
      </c>
      <c r="AB121" s="766"/>
      <c r="AC121" s="766"/>
      <c r="AD121" s="766"/>
      <c r="AE121" s="630"/>
    </row>
    <row r="122" spans="1:31" s="73" customFormat="1">
      <c r="A122" s="244"/>
      <c r="B122" s="245" t="s">
        <v>9</v>
      </c>
      <c r="C122" s="246">
        <v>71584.108333333337</v>
      </c>
      <c r="D122" s="247">
        <v>21486.066666666666</v>
      </c>
      <c r="E122" s="247">
        <v>80436.424999999988</v>
      </c>
      <c r="F122" s="247">
        <v>5222.2583333333332</v>
      </c>
      <c r="G122" s="247">
        <v>12339.8</v>
      </c>
      <c r="H122" s="247">
        <v>6813.8250000000007</v>
      </c>
      <c r="I122" s="246">
        <v>197882.48333333331</v>
      </c>
      <c r="J122" s="246"/>
      <c r="K122" s="247">
        <v>80872.533333333326</v>
      </c>
      <c r="L122" s="247">
        <v>70944.066666666666</v>
      </c>
      <c r="M122" s="247">
        <v>29508.333333333332</v>
      </c>
      <c r="N122" s="246">
        <v>181324.93333333332</v>
      </c>
      <c r="O122" s="328"/>
      <c r="P122" s="247"/>
      <c r="Q122" s="246"/>
      <c r="R122" s="246"/>
      <c r="S122" s="246"/>
      <c r="T122" s="326"/>
      <c r="U122" s="326"/>
      <c r="V122" s="326"/>
      <c r="W122" s="326"/>
      <c r="X122" s="326"/>
      <c r="Y122" s="326"/>
      <c r="Z122" s="326"/>
      <c r="AA122" s="656"/>
      <c r="AB122" s="765"/>
      <c r="AC122" s="765"/>
      <c r="AD122" s="765"/>
      <c r="AE122" s="630"/>
    </row>
    <row r="123" spans="1:31" s="73" customFormat="1">
      <c r="A123" s="244"/>
      <c r="B123" s="245" t="s">
        <v>110</v>
      </c>
      <c r="C123" s="246">
        <v>72143.024999999994</v>
      </c>
      <c r="D123" s="247">
        <v>21873.933333333331</v>
      </c>
      <c r="E123" s="247">
        <v>80739.183333333334</v>
      </c>
      <c r="F123" s="247">
        <v>5398.0666666666666</v>
      </c>
      <c r="G123" s="247">
        <v>11923.4</v>
      </c>
      <c r="H123" s="247">
        <v>6641.0666666666675</v>
      </c>
      <c r="I123" s="246">
        <v>198718.67500000002</v>
      </c>
      <c r="J123" s="246"/>
      <c r="K123" s="247">
        <v>83722</v>
      </c>
      <c r="L123" s="247">
        <v>68913.233333333337</v>
      </c>
      <c r="M123" s="247">
        <v>28417.5</v>
      </c>
      <c r="N123" s="246">
        <v>181052.73333333334</v>
      </c>
      <c r="O123" s="328"/>
      <c r="P123" s="247"/>
      <c r="Q123" s="246"/>
      <c r="R123" s="246"/>
      <c r="S123" s="246"/>
      <c r="T123" s="326"/>
      <c r="U123" s="326"/>
      <c r="V123" s="326"/>
      <c r="W123" s="326"/>
      <c r="X123" s="326"/>
      <c r="Y123" s="326"/>
      <c r="Z123" s="326"/>
      <c r="AA123" s="656"/>
      <c r="AB123" s="765"/>
      <c r="AC123" s="765"/>
      <c r="AD123" s="765"/>
      <c r="AE123" s="630"/>
    </row>
    <row r="124" spans="1:31" s="73" customFormat="1">
      <c r="A124" s="249"/>
      <c r="B124" s="325" t="s">
        <v>112</v>
      </c>
      <c r="C124" s="256">
        <v>7.8078316497852624E-3</v>
      </c>
      <c r="D124" s="257">
        <v>1.8052008898790144E-2</v>
      </c>
      <c r="E124" s="257">
        <v>3.7639456668212938E-3</v>
      </c>
      <c r="F124" s="257">
        <v>3.3665192740688507E-2</v>
      </c>
      <c r="G124" s="257">
        <v>-3.3744469116193103E-2</v>
      </c>
      <c r="H124" s="257">
        <v>-2.5354090152496313E-2</v>
      </c>
      <c r="I124" s="256">
        <v>4.2256982658647668E-3</v>
      </c>
      <c r="J124" s="256">
        <v>0</v>
      </c>
      <c r="K124" s="257">
        <v>3.5234047323854593E-2</v>
      </c>
      <c r="L124" s="257">
        <v>-2.8625837631711674E-2</v>
      </c>
      <c r="M124" s="257">
        <v>-3.6966958486303263E-2</v>
      </c>
      <c r="N124" s="256">
        <v>-1.5011724807831382E-3</v>
      </c>
      <c r="O124" s="652">
        <v>0</v>
      </c>
      <c r="P124" s="257">
        <v>0</v>
      </c>
      <c r="Q124" s="256">
        <v>0</v>
      </c>
      <c r="R124" s="256">
        <v>0</v>
      </c>
      <c r="S124" s="256">
        <v>0</v>
      </c>
      <c r="T124" s="327">
        <v>0</v>
      </c>
      <c r="U124" s="327">
        <v>0</v>
      </c>
      <c r="V124" s="327">
        <v>0</v>
      </c>
      <c r="W124" s="327">
        <v>0</v>
      </c>
      <c r="X124" s="327">
        <v>0</v>
      </c>
      <c r="Y124" s="327">
        <v>0</v>
      </c>
      <c r="Z124" s="327">
        <v>0</v>
      </c>
      <c r="AA124" s="655">
        <v>0</v>
      </c>
      <c r="AB124" s="766"/>
      <c r="AC124" s="766"/>
      <c r="AD124" s="766"/>
      <c r="AE124" s="630"/>
    </row>
    <row r="125" spans="1:31" s="73" customFormat="1">
      <c r="A125" s="638" t="s">
        <v>164</v>
      </c>
      <c r="B125" s="636" t="s">
        <v>102</v>
      </c>
      <c r="C125" s="633">
        <v>35758.233333333337</v>
      </c>
      <c r="D125" s="637"/>
      <c r="E125" s="637">
        <v>19019.8</v>
      </c>
      <c r="F125" s="637"/>
      <c r="G125" s="637">
        <v>19486.933333333334</v>
      </c>
      <c r="H125" s="637">
        <v>5631.5</v>
      </c>
      <c r="I125" s="633">
        <v>79896.466666666674</v>
      </c>
      <c r="J125" s="633">
        <v>8546.2000000000007</v>
      </c>
      <c r="K125" s="637">
        <v>28868.533333333333</v>
      </c>
      <c r="L125" s="637">
        <v>3750.1333333333332</v>
      </c>
      <c r="M125" s="637">
        <v>14858</v>
      </c>
      <c r="N125" s="633">
        <v>56022.866666666669</v>
      </c>
      <c r="O125" s="633"/>
      <c r="P125" s="637"/>
      <c r="Q125" s="633">
        <v>0</v>
      </c>
      <c r="R125" s="633">
        <v>0</v>
      </c>
      <c r="S125" s="633">
        <v>0</v>
      </c>
      <c r="T125" s="645"/>
      <c r="U125" s="645"/>
      <c r="V125" s="645"/>
      <c r="W125" s="645"/>
      <c r="X125" s="645"/>
      <c r="Y125" s="645"/>
      <c r="Z125" s="645"/>
      <c r="AA125" s="653"/>
      <c r="AB125" s="765"/>
      <c r="AC125" s="765"/>
      <c r="AD125" s="765"/>
      <c r="AE125" s="630"/>
    </row>
    <row r="126" spans="1:31" s="73" customFormat="1">
      <c r="A126" s="244"/>
      <c r="B126" s="245" t="s">
        <v>100</v>
      </c>
      <c r="C126" s="246">
        <v>36359.966666666667</v>
      </c>
      <c r="D126" s="247"/>
      <c r="E126" s="247">
        <v>19483.400000000001</v>
      </c>
      <c r="F126" s="247"/>
      <c r="G126" s="247">
        <v>19563.066666666666</v>
      </c>
      <c r="H126" s="247">
        <v>5744.1</v>
      </c>
      <c r="I126" s="246">
        <v>81150.53333333334</v>
      </c>
      <c r="J126" s="246">
        <v>8835.7333333333336</v>
      </c>
      <c r="K126" s="247">
        <v>28434.266666666663</v>
      </c>
      <c r="L126" s="247">
        <v>4011</v>
      </c>
      <c r="M126" s="247">
        <v>15021.266666666668</v>
      </c>
      <c r="N126" s="246">
        <v>56302.26666666667</v>
      </c>
      <c r="O126" s="246"/>
      <c r="P126" s="247"/>
      <c r="Q126" s="246">
        <v>0</v>
      </c>
      <c r="R126" s="246">
        <v>0</v>
      </c>
      <c r="S126" s="246">
        <v>0</v>
      </c>
      <c r="T126" s="326"/>
      <c r="U126" s="326"/>
      <c r="V126" s="326"/>
      <c r="W126" s="326"/>
      <c r="X126" s="326"/>
      <c r="Y126" s="326"/>
      <c r="Z126" s="326"/>
      <c r="AA126" s="654"/>
      <c r="AB126" s="765"/>
      <c r="AC126" s="765"/>
      <c r="AD126" s="765"/>
      <c r="AE126" s="630"/>
    </row>
    <row r="127" spans="1:31" s="73" customFormat="1">
      <c r="A127" s="244"/>
      <c r="B127" s="248" t="s">
        <v>114</v>
      </c>
      <c r="C127" s="256">
        <v>1.6827826132349843E-2</v>
      </c>
      <c r="D127" s="257">
        <v>0</v>
      </c>
      <c r="E127" s="257">
        <v>2.4374599101988571E-2</v>
      </c>
      <c r="F127" s="257">
        <v>0</v>
      </c>
      <c r="G127" s="257">
        <v>3.9068914554709171E-3</v>
      </c>
      <c r="H127" s="257">
        <v>1.9994672822516268E-2</v>
      </c>
      <c r="I127" s="256">
        <v>1.5696146763269633E-2</v>
      </c>
      <c r="J127" s="256">
        <v>3.3878604916024999E-2</v>
      </c>
      <c r="K127" s="257">
        <v>-1.5042907156119353E-2</v>
      </c>
      <c r="L127" s="663">
        <v>6.9561971129915412E-2</v>
      </c>
      <c r="M127" s="257">
        <v>1.0988468613990325E-2</v>
      </c>
      <c r="N127" s="256">
        <v>4.9872492541736188E-3</v>
      </c>
      <c r="O127" s="652">
        <v>0</v>
      </c>
      <c r="P127" s="257">
        <v>0</v>
      </c>
      <c r="Q127" s="256">
        <v>0</v>
      </c>
      <c r="R127" s="256">
        <v>0</v>
      </c>
      <c r="S127" s="256">
        <v>0</v>
      </c>
      <c r="T127" s="327">
        <v>0</v>
      </c>
      <c r="U127" s="327">
        <v>0</v>
      </c>
      <c r="V127" s="327">
        <v>0</v>
      </c>
      <c r="W127" s="327">
        <v>0</v>
      </c>
      <c r="X127" s="327">
        <v>0</v>
      </c>
      <c r="Y127" s="327">
        <v>0</v>
      </c>
      <c r="Z127" s="327">
        <v>0</v>
      </c>
      <c r="AA127" s="655">
        <v>0</v>
      </c>
      <c r="AB127" s="766"/>
      <c r="AC127" s="766"/>
      <c r="AD127" s="766"/>
      <c r="AE127" s="630"/>
    </row>
    <row r="128" spans="1:31" s="73" customFormat="1">
      <c r="A128" s="244"/>
      <c r="B128" s="245" t="s">
        <v>98</v>
      </c>
      <c r="C128" s="246">
        <v>0</v>
      </c>
      <c r="D128" s="247"/>
      <c r="E128" s="247">
        <v>0</v>
      </c>
      <c r="F128" s="247"/>
      <c r="G128" s="247">
        <v>0</v>
      </c>
      <c r="H128" s="247">
        <v>0</v>
      </c>
      <c r="I128" s="246">
        <v>0</v>
      </c>
      <c r="J128" s="246">
        <v>0</v>
      </c>
      <c r="K128" s="247">
        <v>0</v>
      </c>
      <c r="L128" s="247">
        <v>0</v>
      </c>
      <c r="M128" s="247">
        <v>0</v>
      </c>
      <c r="N128" s="246">
        <v>0</v>
      </c>
      <c r="O128" s="328"/>
      <c r="P128" s="247"/>
      <c r="Q128" s="246">
        <v>4723.4119777777778</v>
      </c>
      <c r="R128" s="246">
        <v>16921.855233333339</v>
      </c>
      <c r="S128" s="246">
        <v>21645.267211111117</v>
      </c>
      <c r="T128" s="326"/>
      <c r="U128" s="326"/>
      <c r="V128" s="326"/>
      <c r="W128" s="326"/>
      <c r="X128" s="326"/>
      <c r="Y128" s="326"/>
      <c r="Z128" s="326"/>
      <c r="AA128" s="656"/>
      <c r="AB128" s="765"/>
      <c r="AC128" s="765"/>
      <c r="AD128" s="765"/>
      <c r="AE128" s="630"/>
    </row>
    <row r="129" spans="1:31" s="73" customFormat="1">
      <c r="A129" s="244"/>
      <c r="B129" s="245" t="s">
        <v>96</v>
      </c>
      <c r="C129" s="246">
        <v>0</v>
      </c>
      <c r="D129" s="247"/>
      <c r="E129" s="247">
        <v>0</v>
      </c>
      <c r="F129" s="247"/>
      <c r="G129" s="247">
        <v>0</v>
      </c>
      <c r="H129" s="247">
        <v>0</v>
      </c>
      <c r="I129" s="246">
        <v>0</v>
      </c>
      <c r="J129" s="246">
        <v>0</v>
      </c>
      <c r="K129" s="247">
        <v>0</v>
      </c>
      <c r="L129" s="247">
        <v>0</v>
      </c>
      <c r="M129" s="247">
        <v>0</v>
      </c>
      <c r="N129" s="246">
        <v>0</v>
      </c>
      <c r="O129" s="328"/>
      <c r="P129" s="247"/>
      <c r="Q129" s="246">
        <v>4304.7606777777773</v>
      </c>
      <c r="R129" s="246">
        <v>16254.157633333331</v>
      </c>
      <c r="S129" s="246">
        <v>20558.918311111109</v>
      </c>
      <c r="T129" s="326"/>
      <c r="U129" s="326"/>
      <c r="V129" s="326"/>
      <c r="W129" s="326"/>
      <c r="X129" s="326"/>
      <c r="Y129" s="326"/>
      <c r="Z129" s="326"/>
      <c r="AA129" s="656"/>
      <c r="AB129" s="765"/>
      <c r="AC129" s="765"/>
      <c r="AD129" s="765"/>
      <c r="AE129" s="630"/>
    </row>
    <row r="130" spans="1:31" s="73" customFormat="1">
      <c r="A130" s="244"/>
      <c r="B130" s="248" t="s">
        <v>116</v>
      </c>
      <c r="C130" s="256">
        <v>0</v>
      </c>
      <c r="D130" s="257">
        <v>0</v>
      </c>
      <c r="E130" s="257">
        <v>0</v>
      </c>
      <c r="F130" s="257">
        <v>0</v>
      </c>
      <c r="G130" s="257">
        <v>0</v>
      </c>
      <c r="H130" s="257">
        <v>0</v>
      </c>
      <c r="I130" s="256">
        <v>0</v>
      </c>
      <c r="J130" s="256">
        <v>0</v>
      </c>
      <c r="K130" s="257">
        <v>0</v>
      </c>
      <c r="L130" s="257">
        <v>0</v>
      </c>
      <c r="M130" s="257">
        <v>0</v>
      </c>
      <c r="N130" s="256">
        <v>0</v>
      </c>
      <c r="O130" s="664">
        <v>0</v>
      </c>
      <c r="P130" s="663">
        <v>0</v>
      </c>
      <c r="Q130" s="256">
        <v>-8.8633238423755534E-2</v>
      </c>
      <c r="R130" s="256">
        <v>-3.9457706663554921E-2</v>
      </c>
      <c r="S130" s="256">
        <v>-5.0188749780937833E-2</v>
      </c>
      <c r="T130" s="327">
        <v>0</v>
      </c>
      <c r="U130" s="327">
        <v>0</v>
      </c>
      <c r="V130" s="327">
        <v>0</v>
      </c>
      <c r="W130" s="327">
        <v>0</v>
      </c>
      <c r="X130" s="327">
        <v>0</v>
      </c>
      <c r="Y130" s="327">
        <v>0</v>
      </c>
      <c r="Z130" s="327">
        <v>0</v>
      </c>
      <c r="AA130" s="655">
        <v>0</v>
      </c>
      <c r="AB130" s="766"/>
      <c r="AC130" s="766"/>
      <c r="AD130" s="766"/>
      <c r="AE130" s="630"/>
    </row>
    <row r="131" spans="1:31" s="73" customFormat="1">
      <c r="A131" s="244"/>
      <c r="B131" s="245" t="s">
        <v>104</v>
      </c>
      <c r="C131" s="246">
        <v>6982.75</v>
      </c>
      <c r="D131" s="247"/>
      <c r="E131" s="247">
        <v>2002.0833333333335</v>
      </c>
      <c r="F131" s="247"/>
      <c r="G131" s="247">
        <v>2236.125</v>
      </c>
      <c r="H131" s="247">
        <v>0</v>
      </c>
      <c r="I131" s="246">
        <v>11220.958333333334</v>
      </c>
      <c r="J131" s="246">
        <v>0</v>
      </c>
      <c r="K131" s="247">
        <v>0</v>
      </c>
      <c r="L131" s="247">
        <v>0</v>
      </c>
      <c r="M131" s="247">
        <v>0</v>
      </c>
      <c r="N131" s="246">
        <v>0</v>
      </c>
      <c r="O131" s="328"/>
      <c r="P131" s="247"/>
      <c r="Q131" s="246">
        <v>0</v>
      </c>
      <c r="R131" s="246">
        <v>0</v>
      </c>
      <c r="S131" s="246">
        <v>0</v>
      </c>
      <c r="T131" s="326"/>
      <c r="U131" s="326"/>
      <c r="V131" s="326"/>
      <c r="W131" s="326"/>
      <c r="X131" s="326"/>
      <c r="Y131" s="326"/>
      <c r="Z131" s="326"/>
      <c r="AA131" s="656"/>
      <c r="AB131" s="765"/>
      <c r="AC131" s="765"/>
      <c r="AD131" s="765"/>
      <c r="AE131" s="630"/>
    </row>
    <row r="132" spans="1:31" s="73" customFormat="1">
      <c r="A132" s="244"/>
      <c r="B132" s="245" t="s">
        <v>106</v>
      </c>
      <c r="C132" s="246">
        <v>10016.375</v>
      </c>
      <c r="D132" s="247"/>
      <c r="E132" s="247">
        <v>2034.625</v>
      </c>
      <c r="F132" s="247"/>
      <c r="G132" s="247">
        <v>2333.2916666666665</v>
      </c>
      <c r="H132" s="247">
        <v>0</v>
      </c>
      <c r="I132" s="246">
        <v>14384.291666666666</v>
      </c>
      <c r="J132" s="726">
        <v>2.25</v>
      </c>
      <c r="K132" s="247">
        <v>0</v>
      </c>
      <c r="L132" s="247">
        <v>0</v>
      </c>
      <c r="M132" s="247">
        <v>0</v>
      </c>
      <c r="N132" s="246">
        <v>2.25</v>
      </c>
      <c r="O132" s="328"/>
      <c r="P132" s="247"/>
      <c r="Q132" s="246">
        <v>0</v>
      </c>
      <c r="R132" s="246">
        <v>0</v>
      </c>
      <c r="S132" s="246">
        <v>0</v>
      </c>
      <c r="T132" s="326"/>
      <c r="U132" s="326"/>
      <c r="V132" s="326"/>
      <c r="W132" s="326"/>
      <c r="X132" s="326"/>
      <c r="Y132" s="326"/>
      <c r="Z132" s="326"/>
      <c r="AA132" s="656"/>
      <c r="AB132" s="765"/>
      <c r="AC132" s="765"/>
      <c r="AD132" s="765"/>
      <c r="AE132" s="630"/>
    </row>
    <row r="133" spans="1:31" s="73" customFormat="1">
      <c r="A133" s="244"/>
      <c r="B133" s="248" t="s">
        <v>108</v>
      </c>
      <c r="C133" s="665">
        <v>0.43444559808098526</v>
      </c>
      <c r="D133" s="257">
        <v>0</v>
      </c>
      <c r="E133" s="257">
        <v>1.625390218522365E-2</v>
      </c>
      <c r="F133" s="257">
        <v>0</v>
      </c>
      <c r="G133" s="257">
        <v>4.3453146253749908E-2</v>
      </c>
      <c r="H133" s="257">
        <v>0</v>
      </c>
      <c r="I133" s="256">
        <v>0.28191293821457641</v>
      </c>
      <c r="J133" s="256">
        <v>0</v>
      </c>
      <c r="K133" s="257">
        <v>0</v>
      </c>
      <c r="L133" s="257">
        <v>0</v>
      </c>
      <c r="M133" s="257">
        <v>0</v>
      </c>
      <c r="N133" s="256">
        <v>0</v>
      </c>
      <c r="O133" s="652">
        <v>0</v>
      </c>
      <c r="P133" s="257">
        <v>0</v>
      </c>
      <c r="Q133" s="256">
        <v>0</v>
      </c>
      <c r="R133" s="256">
        <v>0</v>
      </c>
      <c r="S133" s="256">
        <v>0</v>
      </c>
      <c r="T133" s="327">
        <v>0</v>
      </c>
      <c r="U133" s="327">
        <v>0</v>
      </c>
      <c r="V133" s="327">
        <v>0</v>
      </c>
      <c r="W133" s="327">
        <v>0</v>
      </c>
      <c r="X133" s="327">
        <v>0</v>
      </c>
      <c r="Y133" s="327">
        <v>0</v>
      </c>
      <c r="Z133" s="327">
        <v>0</v>
      </c>
      <c r="AA133" s="655">
        <v>0</v>
      </c>
      <c r="AB133" s="766"/>
      <c r="AC133" s="766"/>
      <c r="AD133" s="766"/>
      <c r="AE133" s="630"/>
    </row>
    <row r="134" spans="1:31" s="73" customFormat="1">
      <c r="A134" s="244"/>
      <c r="B134" s="245" t="s">
        <v>9</v>
      </c>
      <c r="C134" s="246">
        <v>42740.983333333337</v>
      </c>
      <c r="D134" s="247"/>
      <c r="E134" s="247">
        <v>21021.883333333331</v>
      </c>
      <c r="F134" s="247"/>
      <c r="G134" s="247">
        <v>21723.058333333334</v>
      </c>
      <c r="H134" s="247">
        <v>5631.5</v>
      </c>
      <c r="I134" s="246">
        <v>91117.425000000003</v>
      </c>
      <c r="J134" s="246">
        <v>8546.2000000000007</v>
      </c>
      <c r="K134" s="247">
        <v>28868.533333333333</v>
      </c>
      <c r="L134" s="247">
        <v>3750.1333333333332</v>
      </c>
      <c r="M134" s="247">
        <v>14858</v>
      </c>
      <c r="N134" s="246">
        <v>56022.866666666669</v>
      </c>
      <c r="O134" s="328"/>
      <c r="P134" s="247"/>
      <c r="Q134" s="246">
        <v>4723.4119777777778</v>
      </c>
      <c r="R134" s="246">
        <v>16921.855233333339</v>
      </c>
      <c r="S134" s="246">
        <v>21645.267211111117</v>
      </c>
      <c r="T134" s="326"/>
      <c r="U134" s="326"/>
      <c r="V134" s="326"/>
      <c r="W134" s="326"/>
      <c r="X134" s="326"/>
      <c r="Y134" s="326"/>
      <c r="Z134" s="326"/>
      <c r="AA134" s="656"/>
      <c r="AB134" s="765"/>
      <c r="AC134" s="765"/>
      <c r="AD134" s="765"/>
      <c r="AE134" s="630"/>
    </row>
    <row r="135" spans="1:31" s="73" customFormat="1">
      <c r="A135" s="244"/>
      <c r="B135" s="245" t="s">
        <v>110</v>
      </c>
      <c r="C135" s="246">
        <v>46376.341666666667</v>
      </c>
      <c r="D135" s="247"/>
      <c r="E135" s="247">
        <v>21518.025000000001</v>
      </c>
      <c r="F135" s="247"/>
      <c r="G135" s="247">
        <v>21896.358333333334</v>
      </c>
      <c r="H135" s="247">
        <v>5744.1</v>
      </c>
      <c r="I135" s="246">
        <v>95534.825000000012</v>
      </c>
      <c r="J135" s="246">
        <v>8837.9833333333336</v>
      </c>
      <c r="K135" s="247">
        <v>28434.266666666663</v>
      </c>
      <c r="L135" s="247">
        <v>4011</v>
      </c>
      <c r="M135" s="247">
        <v>15021.266666666668</v>
      </c>
      <c r="N135" s="246">
        <v>56304.51666666667</v>
      </c>
      <c r="O135" s="328"/>
      <c r="P135" s="247"/>
      <c r="Q135" s="246">
        <v>4304.7606777777773</v>
      </c>
      <c r="R135" s="246">
        <v>16254.157633333331</v>
      </c>
      <c r="S135" s="246">
        <v>20558.918311111109</v>
      </c>
      <c r="T135" s="326"/>
      <c r="U135" s="326"/>
      <c r="V135" s="326"/>
      <c r="W135" s="326"/>
      <c r="X135" s="326"/>
      <c r="Y135" s="326"/>
      <c r="Z135" s="326"/>
      <c r="AA135" s="656"/>
      <c r="AB135" s="765"/>
      <c r="AC135" s="765"/>
      <c r="AD135" s="765"/>
      <c r="AE135" s="630"/>
    </row>
    <row r="136" spans="1:31" s="73" customFormat="1">
      <c r="A136" s="249"/>
      <c r="B136" s="325" t="s">
        <v>112</v>
      </c>
      <c r="C136" s="256">
        <v>8.5055561426406023E-2</v>
      </c>
      <c r="D136" s="257">
        <v>0</v>
      </c>
      <c r="E136" s="257">
        <v>2.3601199702215237E-2</v>
      </c>
      <c r="F136" s="257">
        <v>0</v>
      </c>
      <c r="G136" s="257">
        <v>7.9776980451263628E-3</v>
      </c>
      <c r="H136" s="257">
        <v>1.9994672822516268E-2</v>
      </c>
      <c r="I136" s="256">
        <v>4.8480298910993411E-2</v>
      </c>
      <c r="J136" s="256">
        <v>3.4141879821831082E-2</v>
      </c>
      <c r="K136" s="257">
        <v>-1.5042907156119353E-2</v>
      </c>
      <c r="L136" s="257">
        <v>6.9561971129915412E-2</v>
      </c>
      <c r="M136" s="257">
        <v>1.0988468613990325E-2</v>
      </c>
      <c r="N136" s="256">
        <v>5.0274114260486754E-3</v>
      </c>
      <c r="O136" s="652">
        <v>0</v>
      </c>
      <c r="P136" s="257">
        <v>0</v>
      </c>
      <c r="Q136" s="256">
        <v>-8.8633238423755534E-2</v>
      </c>
      <c r="R136" s="256">
        <v>-3.9457706663554921E-2</v>
      </c>
      <c r="S136" s="256">
        <v>-5.0188749780937833E-2</v>
      </c>
      <c r="T136" s="327">
        <v>0</v>
      </c>
      <c r="U136" s="327">
        <v>0</v>
      </c>
      <c r="V136" s="327">
        <v>0</v>
      </c>
      <c r="W136" s="327">
        <v>0</v>
      </c>
      <c r="X136" s="327">
        <v>0</v>
      </c>
      <c r="Y136" s="327">
        <v>0</v>
      </c>
      <c r="Z136" s="327">
        <v>0</v>
      </c>
      <c r="AA136" s="655">
        <v>0</v>
      </c>
      <c r="AB136" s="766"/>
      <c r="AC136" s="766"/>
      <c r="AD136" s="766"/>
      <c r="AE136" s="630"/>
    </row>
    <row r="137" spans="1:31" s="73" customFormat="1">
      <c r="A137" s="638" t="s">
        <v>199</v>
      </c>
      <c r="B137" s="636" t="s">
        <v>102</v>
      </c>
      <c r="C137" s="633">
        <v>36542.066666666666</v>
      </c>
      <c r="D137" s="637"/>
      <c r="E137" s="637">
        <v>14612.649999999998</v>
      </c>
      <c r="F137" s="637">
        <v>2862.5333333333333</v>
      </c>
      <c r="G137" s="637">
        <v>15166.1</v>
      </c>
      <c r="H137" s="637">
        <v>12055.483333333334</v>
      </c>
      <c r="I137" s="633">
        <v>81238.833333333328</v>
      </c>
      <c r="J137" s="633"/>
      <c r="K137" s="637">
        <v>47656.1</v>
      </c>
      <c r="L137" s="637">
        <v>29146.000000000004</v>
      </c>
      <c r="M137" s="637">
        <v>8331.5333333333347</v>
      </c>
      <c r="N137" s="633">
        <v>85133.633333333346</v>
      </c>
      <c r="O137" s="633"/>
      <c r="P137" s="637"/>
      <c r="Q137" s="633"/>
      <c r="R137" s="633"/>
      <c r="S137" s="633"/>
      <c r="T137" s="645"/>
      <c r="U137" s="645"/>
      <c r="V137" s="645"/>
      <c r="W137" s="645"/>
      <c r="X137" s="645"/>
      <c r="Y137" s="645"/>
      <c r="Z137" s="645"/>
      <c r="AA137" s="653"/>
      <c r="AB137" s="765"/>
      <c r="AC137" s="765"/>
      <c r="AD137" s="765"/>
      <c r="AE137" s="630"/>
    </row>
    <row r="138" spans="1:31" s="73" customFormat="1">
      <c r="A138" s="244"/>
      <c r="B138" s="245" t="s">
        <v>100</v>
      </c>
      <c r="C138" s="246">
        <v>37938.633333333331</v>
      </c>
      <c r="D138" s="247"/>
      <c r="E138" s="247">
        <v>14760.600000000002</v>
      </c>
      <c r="F138" s="247">
        <v>2907.9333333333334</v>
      </c>
      <c r="G138" s="247">
        <v>15491.533333333335</v>
      </c>
      <c r="H138" s="247">
        <v>12260.933333333334</v>
      </c>
      <c r="I138" s="246">
        <v>83359.633333333346</v>
      </c>
      <c r="J138" s="246"/>
      <c r="K138" s="247">
        <v>47289.093000000001</v>
      </c>
      <c r="L138" s="247">
        <v>28035.330666666672</v>
      </c>
      <c r="M138" s="247">
        <v>8309.9860000000008</v>
      </c>
      <c r="N138" s="246">
        <v>83634.409666666674</v>
      </c>
      <c r="O138" s="246"/>
      <c r="P138" s="247"/>
      <c r="Q138" s="246"/>
      <c r="R138" s="246"/>
      <c r="S138" s="246"/>
      <c r="T138" s="326"/>
      <c r="U138" s="326"/>
      <c r="V138" s="326"/>
      <c r="W138" s="326"/>
      <c r="X138" s="326"/>
      <c r="Y138" s="326"/>
      <c r="Z138" s="326"/>
      <c r="AA138" s="654"/>
      <c r="AB138" s="765"/>
      <c r="AC138" s="765"/>
      <c r="AD138" s="765"/>
      <c r="AE138" s="630"/>
    </row>
    <row r="139" spans="1:31" s="73" customFormat="1">
      <c r="A139" s="244"/>
      <c r="B139" s="248" t="s">
        <v>114</v>
      </c>
      <c r="C139" s="256">
        <v>3.8218053713437089E-2</v>
      </c>
      <c r="D139" s="257">
        <v>0</v>
      </c>
      <c r="E139" s="257">
        <v>1.0124789138178523E-2</v>
      </c>
      <c r="F139" s="257">
        <v>1.5860077320788146E-2</v>
      </c>
      <c r="G139" s="257">
        <v>2.1457944582544904E-2</v>
      </c>
      <c r="H139" s="257">
        <v>1.7042037579027031E-2</v>
      </c>
      <c r="I139" s="256">
        <v>2.6105741712194146E-2</v>
      </c>
      <c r="J139" s="256">
        <v>0</v>
      </c>
      <c r="K139" s="663">
        <v>-7.7011547315033709E-3</v>
      </c>
      <c r="L139" s="663">
        <v>-3.8107093025915438E-2</v>
      </c>
      <c r="M139" s="257">
        <v>-2.586238627543615E-3</v>
      </c>
      <c r="N139" s="256">
        <v>-1.7610239431418945E-2</v>
      </c>
      <c r="O139" s="652">
        <v>0</v>
      </c>
      <c r="P139" s="257">
        <v>0</v>
      </c>
      <c r="Q139" s="256">
        <v>0</v>
      </c>
      <c r="R139" s="256">
        <v>0</v>
      </c>
      <c r="S139" s="256">
        <v>0</v>
      </c>
      <c r="T139" s="327">
        <v>0</v>
      </c>
      <c r="U139" s="327">
        <v>0</v>
      </c>
      <c r="V139" s="327">
        <v>0</v>
      </c>
      <c r="W139" s="327">
        <v>0</v>
      </c>
      <c r="X139" s="327">
        <v>0</v>
      </c>
      <c r="Y139" s="327">
        <v>0</v>
      </c>
      <c r="Z139" s="327">
        <v>0</v>
      </c>
      <c r="AA139" s="655">
        <v>0</v>
      </c>
      <c r="AB139" s="766"/>
      <c r="AC139" s="766"/>
      <c r="AD139" s="766"/>
      <c r="AE139" s="630"/>
    </row>
    <row r="140" spans="1:31" s="73" customFormat="1">
      <c r="A140" s="244"/>
      <c r="B140" s="245" t="s">
        <v>98</v>
      </c>
      <c r="C140" s="246">
        <v>0</v>
      </c>
      <c r="D140" s="247"/>
      <c r="E140" s="247">
        <v>0</v>
      </c>
      <c r="F140" s="247">
        <v>0</v>
      </c>
      <c r="G140" s="247">
        <v>0</v>
      </c>
      <c r="H140" s="247">
        <v>0</v>
      </c>
      <c r="I140" s="246">
        <v>0</v>
      </c>
      <c r="J140" s="246"/>
      <c r="K140" s="247">
        <v>0</v>
      </c>
      <c r="L140" s="247">
        <v>0</v>
      </c>
      <c r="M140" s="247">
        <v>0</v>
      </c>
      <c r="N140" s="246">
        <v>0</v>
      </c>
      <c r="O140" s="328"/>
      <c r="P140" s="247"/>
      <c r="Q140" s="246"/>
      <c r="R140" s="246"/>
      <c r="S140" s="246"/>
      <c r="T140" s="326"/>
      <c r="U140" s="326"/>
      <c r="V140" s="326"/>
      <c r="W140" s="326"/>
      <c r="X140" s="326"/>
      <c r="Y140" s="326"/>
      <c r="Z140" s="326"/>
      <c r="AA140" s="656"/>
      <c r="AB140" s="765"/>
      <c r="AC140" s="765"/>
      <c r="AD140" s="765"/>
      <c r="AE140" s="630"/>
    </row>
    <row r="141" spans="1:31" s="73" customFormat="1">
      <c r="A141" s="244"/>
      <c r="B141" s="245" t="s">
        <v>96</v>
      </c>
      <c r="C141" s="246">
        <v>0</v>
      </c>
      <c r="D141" s="247"/>
      <c r="E141" s="247">
        <v>0</v>
      </c>
      <c r="F141" s="247">
        <v>0</v>
      </c>
      <c r="G141" s="247">
        <v>0</v>
      </c>
      <c r="H141" s="247">
        <v>0</v>
      </c>
      <c r="I141" s="246">
        <v>0</v>
      </c>
      <c r="J141" s="246"/>
      <c r="K141" s="247">
        <v>0</v>
      </c>
      <c r="L141" s="247">
        <v>0</v>
      </c>
      <c r="M141" s="247">
        <v>0</v>
      </c>
      <c r="N141" s="246">
        <v>0</v>
      </c>
      <c r="O141" s="328"/>
      <c r="P141" s="247"/>
      <c r="Q141" s="246"/>
      <c r="R141" s="246"/>
      <c r="S141" s="246"/>
      <c r="T141" s="326"/>
      <c r="U141" s="326"/>
      <c r="V141" s="326"/>
      <c r="W141" s="326"/>
      <c r="X141" s="326"/>
      <c r="Y141" s="326"/>
      <c r="Z141" s="326"/>
      <c r="AA141" s="656"/>
      <c r="AB141" s="765"/>
      <c r="AC141" s="765"/>
      <c r="AD141" s="765"/>
      <c r="AE141" s="630"/>
    </row>
    <row r="142" spans="1:31" s="73" customFormat="1">
      <c r="A142" s="244"/>
      <c r="B142" s="248" t="s">
        <v>116</v>
      </c>
      <c r="C142" s="256">
        <v>0</v>
      </c>
      <c r="D142" s="257">
        <v>0</v>
      </c>
      <c r="E142" s="257">
        <v>0</v>
      </c>
      <c r="F142" s="257">
        <v>0</v>
      </c>
      <c r="G142" s="257">
        <v>0</v>
      </c>
      <c r="H142" s="257">
        <v>0</v>
      </c>
      <c r="I142" s="256">
        <v>0</v>
      </c>
      <c r="J142" s="256">
        <v>0</v>
      </c>
      <c r="K142" s="257">
        <v>0</v>
      </c>
      <c r="L142" s="257">
        <v>0</v>
      </c>
      <c r="M142" s="257">
        <v>0</v>
      </c>
      <c r="N142" s="256">
        <v>0</v>
      </c>
      <c r="O142" s="652">
        <v>0</v>
      </c>
      <c r="P142" s="257">
        <v>0</v>
      </c>
      <c r="Q142" s="256">
        <v>0</v>
      </c>
      <c r="R142" s="256">
        <v>0</v>
      </c>
      <c r="S142" s="256">
        <v>0</v>
      </c>
      <c r="T142" s="327">
        <v>0</v>
      </c>
      <c r="U142" s="327">
        <v>0</v>
      </c>
      <c r="V142" s="327">
        <v>0</v>
      </c>
      <c r="W142" s="327">
        <v>0</v>
      </c>
      <c r="X142" s="327">
        <v>0</v>
      </c>
      <c r="Y142" s="327">
        <v>0</v>
      </c>
      <c r="Z142" s="327">
        <v>0</v>
      </c>
      <c r="AA142" s="655">
        <v>0</v>
      </c>
      <c r="AB142" s="766"/>
      <c r="AC142" s="766"/>
      <c r="AD142" s="766"/>
      <c r="AE142" s="630"/>
    </row>
    <row r="143" spans="1:31" s="73" customFormat="1">
      <c r="A143" s="244"/>
      <c r="B143" s="245" t="s">
        <v>104</v>
      </c>
      <c r="C143" s="246">
        <v>7931.1666666666661</v>
      </c>
      <c r="D143" s="247"/>
      <c r="E143" s="247">
        <v>1516.125</v>
      </c>
      <c r="F143" s="247">
        <v>645.91666666666663</v>
      </c>
      <c r="G143" s="247">
        <v>1043.0833333333333</v>
      </c>
      <c r="H143" s="247">
        <v>183.20833333333331</v>
      </c>
      <c r="I143" s="246">
        <v>11319.5</v>
      </c>
      <c r="J143" s="246"/>
      <c r="K143" s="247">
        <v>0</v>
      </c>
      <c r="L143" s="247">
        <v>0</v>
      </c>
      <c r="M143" s="247">
        <v>0</v>
      </c>
      <c r="N143" s="246">
        <v>0</v>
      </c>
      <c r="O143" s="328"/>
      <c r="P143" s="247"/>
      <c r="Q143" s="246"/>
      <c r="R143" s="246"/>
      <c r="S143" s="246"/>
      <c r="T143" s="326"/>
      <c r="U143" s="326"/>
      <c r="V143" s="326"/>
      <c r="W143" s="326"/>
      <c r="X143" s="326"/>
      <c r="Y143" s="326"/>
      <c r="Z143" s="326"/>
      <c r="AA143" s="656"/>
      <c r="AB143" s="765"/>
      <c r="AC143" s="765"/>
      <c r="AD143" s="765"/>
      <c r="AE143" s="630"/>
    </row>
    <row r="144" spans="1:31" s="73" customFormat="1">
      <c r="A144" s="244"/>
      <c r="B144" s="245" t="s">
        <v>106</v>
      </c>
      <c r="C144" s="246">
        <v>8145.541666666667</v>
      </c>
      <c r="D144" s="247"/>
      <c r="E144" s="247">
        <v>1568.1666666666665</v>
      </c>
      <c r="F144" s="247">
        <v>669.25</v>
      </c>
      <c r="G144" s="247">
        <v>1030.375</v>
      </c>
      <c r="H144" s="247">
        <v>177.20833333333331</v>
      </c>
      <c r="I144" s="246">
        <v>11590.541666666668</v>
      </c>
      <c r="J144" s="246"/>
      <c r="K144" s="247">
        <v>0</v>
      </c>
      <c r="L144" s="247">
        <v>0</v>
      </c>
      <c r="M144" s="247">
        <v>0</v>
      </c>
      <c r="N144" s="246">
        <v>0</v>
      </c>
      <c r="O144" s="328"/>
      <c r="P144" s="247"/>
      <c r="Q144" s="246"/>
      <c r="R144" s="246"/>
      <c r="S144" s="246"/>
      <c r="T144" s="326"/>
      <c r="U144" s="326"/>
      <c r="V144" s="326"/>
      <c r="W144" s="326"/>
      <c r="X144" s="326"/>
      <c r="Y144" s="326"/>
      <c r="Z144" s="326"/>
      <c r="AA144" s="656"/>
      <c r="AB144" s="765"/>
      <c r="AC144" s="765"/>
      <c r="AD144" s="765"/>
      <c r="AE144" s="630"/>
    </row>
    <row r="145" spans="1:31" s="73" customFormat="1">
      <c r="A145" s="244"/>
      <c r="B145" s="248" t="s">
        <v>108</v>
      </c>
      <c r="C145" s="256">
        <v>2.7029440813667715E-2</v>
      </c>
      <c r="D145" s="257">
        <v>0</v>
      </c>
      <c r="E145" s="257">
        <v>3.43254459010085E-2</v>
      </c>
      <c r="F145" s="257">
        <v>3.6124371048896979E-2</v>
      </c>
      <c r="G145" s="257">
        <v>-1.2183430534473044E-2</v>
      </c>
      <c r="H145" s="257">
        <v>-3.2749602001364571E-2</v>
      </c>
      <c r="I145" s="256">
        <v>2.3944667756231983E-2</v>
      </c>
      <c r="J145" s="256">
        <v>0</v>
      </c>
      <c r="K145" s="257">
        <v>0</v>
      </c>
      <c r="L145" s="257">
        <v>0</v>
      </c>
      <c r="M145" s="257">
        <v>0</v>
      </c>
      <c r="N145" s="256">
        <v>0</v>
      </c>
      <c r="O145" s="652">
        <v>0</v>
      </c>
      <c r="P145" s="257">
        <v>0</v>
      </c>
      <c r="Q145" s="256">
        <v>0</v>
      </c>
      <c r="R145" s="256">
        <v>0</v>
      </c>
      <c r="S145" s="256">
        <v>0</v>
      </c>
      <c r="T145" s="327">
        <v>0</v>
      </c>
      <c r="U145" s="327">
        <v>0</v>
      </c>
      <c r="V145" s="327">
        <v>0</v>
      </c>
      <c r="W145" s="327">
        <v>0</v>
      </c>
      <c r="X145" s="327">
        <v>0</v>
      </c>
      <c r="Y145" s="327">
        <v>0</v>
      </c>
      <c r="Z145" s="327">
        <v>0</v>
      </c>
      <c r="AA145" s="655">
        <v>0</v>
      </c>
      <c r="AB145" s="766"/>
      <c r="AC145" s="766"/>
      <c r="AD145" s="766"/>
      <c r="AE145" s="630"/>
    </row>
    <row r="146" spans="1:31" s="73" customFormat="1">
      <c r="A146" s="244"/>
      <c r="B146" s="245" t="s">
        <v>9</v>
      </c>
      <c r="C146" s="246">
        <v>44473.233333333337</v>
      </c>
      <c r="D146" s="247"/>
      <c r="E146" s="247">
        <v>16128.774999999998</v>
      </c>
      <c r="F146" s="247">
        <v>3508.45</v>
      </c>
      <c r="G146" s="247">
        <v>16209.183333333334</v>
      </c>
      <c r="H146" s="247">
        <v>12238.691666666668</v>
      </c>
      <c r="I146" s="246">
        <v>92558.333333333328</v>
      </c>
      <c r="J146" s="246"/>
      <c r="K146" s="247">
        <v>47656.1</v>
      </c>
      <c r="L146" s="247">
        <v>29146.000000000004</v>
      </c>
      <c r="M146" s="247">
        <v>8331.5333333333347</v>
      </c>
      <c r="N146" s="246">
        <v>85133.633333333346</v>
      </c>
      <c r="O146" s="328"/>
      <c r="P146" s="247"/>
      <c r="Q146" s="246"/>
      <c r="R146" s="246"/>
      <c r="S146" s="246"/>
      <c r="T146" s="326"/>
      <c r="U146" s="326"/>
      <c r="V146" s="326"/>
      <c r="W146" s="326"/>
      <c r="X146" s="326"/>
      <c r="Y146" s="326"/>
      <c r="Z146" s="326"/>
      <c r="AA146" s="656"/>
      <c r="AB146" s="765"/>
      <c r="AC146" s="765"/>
      <c r="AD146" s="765"/>
      <c r="AE146" s="630"/>
    </row>
    <row r="147" spans="1:31" s="73" customFormat="1">
      <c r="A147" s="244"/>
      <c r="B147" s="245" t="s">
        <v>110</v>
      </c>
      <c r="C147" s="246">
        <v>46084.175000000003</v>
      </c>
      <c r="D147" s="247"/>
      <c r="E147" s="247">
        <v>16328.766666666666</v>
      </c>
      <c r="F147" s="247">
        <v>3577.1833333333334</v>
      </c>
      <c r="G147" s="247">
        <v>16521.908333333333</v>
      </c>
      <c r="H147" s="247">
        <v>12438.141666666666</v>
      </c>
      <c r="I147" s="246">
        <v>94950.174999999988</v>
      </c>
      <c r="J147" s="246"/>
      <c r="K147" s="247">
        <v>47289.093000000001</v>
      </c>
      <c r="L147" s="247">
        <v>28035.330666666672</v>
      </c>
      <c r="M147" s="247">
        <v>8309.9860000000008</v>
      </c>
      <c r="N147" s="246">
        <v>83634.409666666674</v>
      </c>
      <c r="O147" s="328"/>
      <c r="P147" s="247"/>
      <c r="Q147" s="246"/>
      <c r="R147" s="246"/>
      <c r="S147" s="246"/>
      <c r="T147" s="326"/>
      <c r="U147" s="326"/>
      <c r="V147" s="326"/>
      <c r="W147" s="326"/>
      <c r="X147" s="326"/>
      <c r="Y147" s="326"/>
      <c r="Z147" s="326"/>
      <c r="AA147" s="656"/>
      <c r="AB147" s="765"/>
      <c r="AC147" s="765"/>
      <c r="AD147" s="765"/>
      <c r="AE147" s="630"/>
    </row>
    <row r="148" spans="1:31" s="73" customFormat="1">
      <c r="A148" s="249"/>
      <c r="B148" s="325" t="s">
        <v>112</v>
      </c>
      <c r="C148" s="256">
        <v>3.6222724230379748E-2</v>
      </c>
      <c r="D148" s="257">
        <v>0</v>
      </c>
      <c r="E148" s="257">
        <v>1.2399681108247133E-2</v>
      </c>
      <c r="F148" s="257">
        <v>1.9590797455666626E-2</v>
      </c>
      <c r="G148" s="257">
        <v>1.9293075633051545E-2</v>
      </c>
      <c r="H148" s="257">
        <v>1.6296676591928648E-2</v>
      </c>
      <c r="I148" s="256">
        <v>2.5841451336994618E-2</v>
      </c>
      <c r="J148" s="256">
        <v>0</v>
      </c>
      <c r="K148" s="257">
        <v>-7.7011547315033709E-3</v>
      </c>
      <c r="L148" s="257">
        <v>-3.8107093025915438E-2</v>
      </c>
      <c r="M148" s="257">
        <v>-2.586238627543615E-3</v>
      </c>
      <c r="N148" s="256">
        <v>-1.7610239431418945E-2</v>
      </c>
      <c r="O148" s="652">
        <v>0</v>
      </c>
      <c r="P148" s="257">
        <v>0</v>
      </c>
      <c r="Q148" s="256">
        <v>0</v>
      </c>
      <c r="R148" s="256">
        <v>0</v>
      </c>
      <c r="S148" s="256">
        <v>0</v>
      </c>
      <c r="T148" s="327">
        <v>0</v>
      </c>
      <c r="U148" s="327">
        <v>0</v>
      </c>
      <c r="V148" s="327">
        <v>0</v>
      </c>
      <c r="W148" s="327">
        <v>0</v>
      </c>
      <c r="X148" s="327">
        <v>0</v>
      </c>
      <c r="Y148" s="327">
        <v>0</v>
      </c>
      <c r="Z148" s="327">
        <v>0</v>
      </c>
      <c r="AA148" s="655">
        <v>0</v>
      </c>
      <c r="AB148" s="766"/>
      <c r="AC148" s="766"/>
      <c r="AD148" s="766"/>
      <c r="AE148" s="630"/>
    </row>
    <row r="149" spans="1:31" s="73" customFormat="1">
      <c r="A149" s="638" t="s">
        <v>31</v>
      </c>
      <c r="B149" s="636" t="s">
        <v>102</v>
      </c>
      <c r="C149" s="633">
        <v>34605.699999999997</v>
      </c>
      <c r="D149" s="637">
        <v>6158.2</v>
      </c>
      <c r="E149" s="637">
        <v>56515.233333333337</v>
      </c>
      <c r="F149" s="637"/>
      <c r="G149" s="637">
        <v>6796.7</v>
      </c>
      <c r="H149" s="637"/>
      <c r="I149" s="633">
        <v>104075.83333333333</v>
      </c>
      <c r="J149" s="633"/>
      <c r="K149" s="637">
        <v>36542.833333333336</v>
      </c>
      <c r="L149" s="637">
        <v>30379.800000000003</v>
      </c>
      <c r="M149" s="637"/>
      <c r="N149" s="633">
        <v>66922.633333333331</v>
      </c>
      <c r="O149" s="633"/>
      <c r="P149" s="637"/>
      <c r="Q149" s="633"/>
      <c r="R149" s="633">
        <v>0</v>
      </c>
      <c r="S149" s="633">
        <v>0</v>
      </c>
      <c r="T149" s="645"/>
      <c r="U149" s="645"/>
      <c r="V149" s="645"/>
      <c r="W149" s="645"/>
      <c r="X149" s="645"/>
      <c r="Y149" s="645"/>
      <c r="Z149" s="645"/>
      <c r="AA149" s="653"/>
      <c r="AB149" s="765"/>
      <c r="AC149" s="765"/>
      <c r="AD149" s="765"/>
      <c r="AE149" s="630"/>
    </row>
    <row r="150" spans="1:31" s="73" customFormat="1">
      <c r="A150" s="244"/>
      <c r="B150" s="245" t="s">
        <v>100</v>
      </c>
      <c r="C150" s="246">
        <v>32852.566666666666</v>
      </c>
      <c r="D150" s="247">
        <v>6188.5666666666666</v>
      </c>
      <c r="E150" s="247">
        <v>57744.666666666664</v>
      </c>
      <c r="F150" s="247"/>
      <c r="G150" s="247">
        <v>6539.9</v>
      </c>
      <c r="H150" s="247"/>
      <c r="I150" s="246">
        <v>103325.69999999998</v>
      </c>
      <c r="J150" s="246"/>
      <c r="K150" s="247">
        <v>37019.933333333334</v>
      </c>
      <c r="L150" s="247">
        <v>29790.466666666667</v>
      </c>
      <c r="M150" s="247"/>
      <c r="N150" s="246">
        <v>66810.399999999994</v>
      </c>
      <c r="O150" s="246"/>
      <c r="P150" s="247"/>
      <c r="Q150" s="246"/>
      <c r="R150" s="246">
        <v>0</v>
      </c>
      <c r="S150" s="246">
        <v>0</v>
      </c>
      <c r="T150" s="326"/>
      <c r="U150" s="326"/>
      <c r="V150" s="326"/>
      <c r="W150" s="326"/>
      <c r="X150" s="326"/>
      <c r="Y150" s="326"/>
      <c r="Z150" s="326"/>
      <c r="AA150" s="654"/>
      <c r="AB150" s="765"/>
      <c r="AC150" s="765"/>
      <c r="AD150" s="765"/>
      <c r="AE150" s="630"/>
    </row>
    <row r="151" spans="1:31" s="73" customFormat="1">
      <c r="A151" s="244"/>
      <c r="B151" s="248" t="s">
        <v>114</v>
      </c>
      <c r="C151" s="256">
        <v>-5.0660247685593171E-2</v>
      </c>
      <c r="D151" s="257">
        <v>4.9310945839152335E-3</v>
      </c>
      <c r="E151" s="257">
        <v>2.1754016763621729E-2</v>
      </c>
      <c r="F151" s="257">
        <v>0</v>
      </c>
      <c r="G151" s="663">
        <v>-3.7783041770270892E-2</v>
      </c>
      <c r="H151" s="257">
        <v>0</v>
      </c>
      <c r="I151" s="256">
        <v>-7.2075649966770851E-3</v>
      </c>
      <c r="J151" s="256">
        <v>0</v>
      </c>
      <c r="K151" s="663">
        <v>1.3055911555845384E-2</v>
      </c>
      <c r="L151" s="663">
        <v>-1.9398854940892819E-2</v>
      </c>
      <c r="M151" s="257">
        <v>0</v>
      </c>
      <c r="N151" s="256">
        <v>-1.6770609245799154E-3</v>
      </c>
      <c r="O151" s="652">
        <v>0</v>
      </c>
      <c r="P151" s="257">
        <v>0</v>
      </c>
      <c r="Q151" s="256">
        <v>0</v>
      </c>
      <c r="R151" s="256">
        <v>0</v>
      </c>
      <c r="S151" s="256">
        <v>0</v>
      </c>
      <c r="T151" s="327">
        <v>0</v>
      </c>
      <c r="U151" s="327">
        <v>0</v>
      </c>
      <c r="V151" s="327">
        <v>0</v>
      </c>
      <c r="W151" s="327">
        <v>0</v>
      </c>
      <c r="X151" s="327">
        <v>0</v>
      </c>
      <c r="Y151" s="327">
        <v>0</v>
      </c>
      <c r="Z151" s="327">
        <v>0</v>
      </c>
      <c r="AA151" s="655">
        <v>0</v>
      </c>
      <c r="AB151" s="766"/>
      <c r="AC151" s="766"/>
      <c r="AD151" s="766"/>
      <c r="AE151" s="630"/>
    </row>
    <row r="152" spans="1:31" s="73" customFormat="1">
      <c r="A152" s="244"/>
      <c r="B152" s="245" t="s">
        <v>98</v>
      </c>
      <c r="C152" s="246">
        <v>0</v>
      </c>
      <c r="D152" s="247">
        <v>0</v>
      </c>
      <c r="E152" s="247">
        <v>0</v>
      </c>
      <c r="F152" s="247"/>
      <c r="G152" s="247">
        <v>0</v>
      </c>
      <c r="H152" s="247"/>
      <c r="I152" s="246">
        <v>0</v>
      </c>
      <c r="J152" s="246"/>
      <c r="K152" s="247">
        <v>0</v>
      </c>
      <c r="L152" s="247">
        <v>0</v>
      </c>
      <c r="M152" s="247"/>
      <c r="N152" s="246">
        <v>0</v>
      </c>
      <c r="O152" s="328"/>
      <c r="P152" s="247"/>
      <c r="Q152" s="246"/>
      <c r="R152" s="246">
        <v>13277.441111111108</v>
      </c>
      <c r="S152" s="246">
        <v>13277.441111111108</v>
      </c>
      <c r="T152" s="326"/>
      <c r="U152" s="326"/>
      <c r="V152" s="326"/>
      <c r="W152" s="326"/>
      <c r="X152" s="326"/>
      <c r="Y152" s="326"/>
      <c r="Z152" s="326"/>
      <c r="AA152" s="656"/>
      <c r="AB152" s="765"/>
      <c r="AC152" s="765"/>
      <c r="AD152" s="765"/>
      <c r="AE152" s="630"/>
    </row>
    <row r="153" spans="1:31" s="73" customFormat="1">
      <c r="A153" s="244"/>
      <c r="B153" s="245" t="s">
        <v>96</v>
      </c>
      <c r="C153" s="246">
        <v>0</v>
      </c>
      <c r="D153" s="247">
        <v>0</v>
      </c>
      <c r="E153" s="247">
        <v>0</v>
      </c>
      <c r="F153" s="247"/>
      <c r="G153" s="247">
        <v>0</v>
      </c>
      <c r="H153" s="247"/>
      <c r="I153" s="246">
        <v>0</v>
      </c>
      <c r="J153" s="246"/>
      <c r="K153" s="247">
        <v>0</v>
      </c>
      <c r="L153" s="247">
        <v>0</v>
      </c>
      <c r="M153" s="247"/>
      <c r="N153" s="246">
        <v>0</v>
      </c>
      <c r="O153" s="328"/>
      <c r="P153" s="247"/>
      <c r="Q153" s="246"/>
      <c r="R153" s="246">
        <v>15336.976666666666</v>
      </c>
      <c r="S153" s="246">
        <v>15336.976666666666</v>
      </c>
      <c r="T153" s="326"/>
      <c r="U153" s="326"/>
      <c r="V153" s="326"/>
      <c r="W153" s="326"/>
      <c r="X153" s="326"/>
      <c r="Y153" s="326"/>
      <c r="Z153" s="326"/>
      <c r="AA153" s="656"/>
      <c r="AB153" s="765"/>
      <c r="AC153" s="765"/>
      <c r="AD153" s="765"/>
      <c r="AE153" s="630"/>
    </row>
    <row r="154" spans="1:31" s="73" customFormat="1">
      <c r="A154" s="244"/>
      <c r="B154" s="248" t="s">
        <v>116</v>
      </c>
      <c r="C154" s="256">
        <v>0</v>
      </c>
      <c r="D154" s="257">
        <v>0</v>
      </c>
      <c r="E154" s="257">
        <v>0</v>
      </c>
      <c r="F154" s="257">
        <v>0</v>
      </c>
      <c r="G154" s="257">
        <v>0</v>
      </c>
      <c r="H154" s="257">
        <v>0</v>
      </c>
      <c r="I154" s="256">
        <v>0</v>
      </c>
      <c r="J154" s="256">
        <v>0</v>
      </c>
      <c r="K154" s="257">
        <v>0</v>
      </c>
      <c r="L154" s="257">
        <v>0</v>
      </c>
      <c r="M154" s="257">
        <v>0</v>
      </c>
      <c r="N154" s="256">
        <v>0</v>
      </c>
      <c r="O154" s="652">
        <v>0</v>
      </c>
      <c r="P154" s="663">
        <v>0</v>
      </c>
      <c r="Q154" s="256">
        <v>0</v>
      </c>
      <c r="R154" s="256">
        <v>0.15511539748664779</v>
      </c>
      <c r="S154" s="256">
        <v>0.15511539748664779</v>
      </c>
      <c r="T154" s="327">
        <v>0</v>
      </c>
      <c r="U154" s="327">
        <v>0</v>
      </c>
      <c r="V154" s="327">
        <v>0</v>
      </c>
      <c r="W154" s="327">
        <v>0</v>
      </c>
      <c r="X154" s="327">
        <v>0</v>
      </c>
      <c r="Y154" s="327">
        <v>0</v>
      </c>
      <c r="Z154" s="327">
        <v>0</v>
      </c>
      <c r="AA154" s="655">
        <v>0</v>
      </c>
      <c r="AB154" s="766"/>
      <c r="AC154" s="766"/>
      <c r="AD154" s="766"/>
      <c r="AE154" s="630"/>
    </row>
    <row r="155" spans="1:31" s="73" customFormat="1">
      <c r="A155" s="244"/>
      <c r="B155" s="245" t="s">
        <v>104</v>
      </c>
      <c r="C155" s="246">
        <v>8665.9166666666679</v>
      </c>
      <c r="D155" s="247">
        <v>1477.7083333333333</v>
      </c>
      <c r="E155" s="247">
        <v>6609.1666666666661</v>
      </c>
      <c r="F155" s="247"/>
      <c r="G155" s="247">
        <v>349.79166666666669</v>
      </c>
      <c r="H155" s="247"/>
      <c r="I155" s="246">
        <v>17102.583333333336</v>
      </c>
      <c r="J155" s="246"/>
      <c r="K155" s="247">
        <v>0</v>
      </c>
      <c r="L155" s="247">
        <v>0</v>
      </c>
      <c r="M155" s="247"/>
      <c r="N155" s="246">
        <v>0</v>
      </c>
      <c r="O155" s="328"/>
      <c r="P155" s="247"/>
      <c r="Q155" s="246"/>
      <c r="R155" s="246">
        <v>0</v>
      </c>
      <c r="S155" s="246">
        <v>0</v>
      </c>
      <c r="T155" s="326"/>
      <c r="U155" s="326"/>
      <c r="V155" s="326"/>
      <c r="W155" s="326"/>
      <c r="X155" s="326"/>
      <c r="Y155" s="326"/>
      <c r="Z155" s="326"/>
      <c r="AA155" s="656"/>
      <c r="AB155" s="765"/>
      <c r="AC155" s="765"/>
      <c r="AD155" s="765"/>
      <c r="AE155" s="630"/>
    </row>
    <row r="156" spans="1:31" s="73" customFormat="1">
      <c r="A156" s="244"/>
      <c r="B156" s="245" t="s">
        <v>106</v>
      </c>
      <c r="C156" s="246">
        <v>8069</v>
      </c>
      <c r="D156" s="247">
        <v>1498.9583333333333</v>
      </c>
      <c r="E156" s="247">
        <v>6458.5833333333321</v>
      </c>
      <c r="F156" s="247"/>
      <c r="G156" s="247">
        <v>235.08333333333334</v>
      </c>
      <c r="H156" s="247"/>
      <c r="I156" s="246">
        <v>16261.625</v>
      </c>
      <c r="J156" s="246"/>
      <c r="K156" s="247">
        <v>0</v>
      </c>
      <c r="L156" s="247">
        <v>0</v>
      </c>
      <c r="M156" s="247"/>
      <c r="N156" s="246">
        <v>0</v>
      </c>
      <c r="O156" s="328"/>
      <c r="P156" s="247"/>
      <c r="Q156" s="246"/>
      <c r="R156" s="246">
        <v>0</v>
      </c>
      <c r="S156" s="246">
        <v>0</v>
      </c>
      <c r="T156" s="326"/>
      <c r="U156" s="326"/>
      <c r="V156" s="326"/>
      <c r="W156" s="326"/>
      <c r="X156" s="326"/>
      <c r="Y156" s="326"/>
      <c r="Z156" s="326"/>
      <c r="AA156" s="656"/>
      <c r="AB156" s="765"/>
      <c r="AC156" s="765"/>
      <c r="AD156" s="765"/>
      <c r="AE156" s="630"/>
    </row>
    <row r="157" spans="1:31" s="73" customFormat="1">
      <c r="A157" s="244"/>
      <c r="B157" s="248" t="s">
        <v>108</v>
      </c>
      <c r="C157" s="665">
        <v>-6.8880960852381587E-2</v>
      </c>
      <c r="D157" s="257">
        <v>1.438037501762301E-2</v>
      </c>
      <c r="E157" s="257">
        <v>-2.2784012104400547E-2</v>
      </c>
      <c r="F157" s="257">
        <v>0</v>
      </c>
      <c r="G157" s="257">
        <v>-0.32793329362715901</v>
      </c>
      <c r="H157" s="257">
        <v>0</v>
      </c>
      <c r="I157" s="256">
        <v>-4.9171421471415164E-2</v>
      </c>
      <c r="J157" s="256">
        <v>0</v>
      </c>
      <c r="K157" s="257">
        <v>0</v>
      </c>
      <c r="L157" s="257">
        <v>0</v>
      </c>
      <c r="M157" s="257">
        <v>0</v>
      </c>
      <c r="N157" s="256">
        <v>0</v>
      </c>
      <c r="O157" s="652">
        <v>0</v>
      </c>
      <c r="P157" s="257">
        <v>0</v>
      </c>
      <c r="Q157" s="256">
        <v>0</v>
      </c>
      <c r="R157" s="256">
        <v>0</v>
      </c>
      <c r="S157" s="256">
        <v>0</v>
      </c>
      <c r="T157" s="327">
        <v>0</v>
      </c>
      <c r="U157" s="327">
        <v>0</v>
      </c>
      <c r="V157" s="327">
        <v>0</v>
      </c>
      <c r="W157" s="327">
        <v>0</v>
      </c>
      <c r="X157" s="327">
        <v>0</v>
      </c>
      <c r="Y157" s="327">
        <v>0</v>
      </c>
      <c r="Z157" s="327">
        <v>0</v>
      </c>
      <c r="AA157" s="655">
        <v>0</v>
      </c>
      <c r="AB157" s="766"/>
      <c r="AC157" s="766"/>
      <c r="AD157" s="766"/>
      <c r="AE157" s="630"/>
    </row>
    <row r="158" spans="1:31" s="73" customFormat="1">
      <c r="A158" s="244"/>
      <c r="B158" s="245" t="s">
        <v>9</v>
      </c>
      <c r="C158" s="246">
        <v>43271.616666666669</v>
      </c>
      <c r="D158" s="247">
        <v>7635.9083333333328</v>
      </c>
      <c r="E158" s="247">
        <v>63124.399999999994</v>
      </c>
      <c r="F158" s="247"/>
      <c r="G158" s="247">
        <v>7146.4916666666668</v>
      </c>
      <c r="H158" s="247"/>
      <c r="I158" s="246">
        <v>121178.41666666666</v>
      </c>
      <c r="J158" s="246"/>
      <c r="K158" s="247">
        <v>36542.833333333336</v>
      </c>
      <c r="L158" s="247">
        <v>30379.800000000003</v>
      </c>
      <c r="M158" s="247"/>
      <c r="N158" s="246">
        <v>66922.633333333331</v>
      </c>
      <c r="O158" s="328"/>
      <c r="P158" s="247"/>
      <c r="Q158" s="246"/>
      <c r="R158" s="246">
        <v>13277.441111111108</v>
      </c>
      <c r="S158" s="246">
        <v>13277.441111111108</v>
      </c>
      <c r="T158" s="326"/>
      <c r="U158" s="326"/>
      <c r="V158" s="326"/>
      <c r="W158" s="326"/>
      <c r="X158" s="326"/>
      <c r="Y158" s="326"/>
      <c r="Z158" s="326"/>
      <c r="AA158" s="656"/>
      <c r="AB158" s="765"/>
      <c r="AC158" s="765"/>
      <c r="AD158" s="765"/>
      <c r="AE158" s="630"/>
    </row>
    <row r="159" spans="1:31" s="73" customFormat="1">
      <c r="A159" s="244"/>
      <c r="B159" s="245" t="s">
        <v>110</v>
      </c>
      <c r="C159" s="246">
        <v>40921.566666666666</v>
      </c>
      <c r="D159" s="247">
        <v>7687.5249999999996</v>
      </c>
      <c r="E159" s="247">
        <v>64203.250000000007</v>
      </c>
      <c r="F159" s="247"/>
      <c r="G159" s="247">
        <v>6774.9833333333327</v>
      </c>
      <c r="H159" s="247"/>
      <c r="I159" s="246">
        <v>119587.32500000001</v>
      </c>
      <c r="J159" s="246"/>
      <c r="K159" s="247">
        <v>37019.933333333334</v>
      </c>
      <c r="L159" s="247">
        <v>29790.466666666667</v>
      </c>
      <c r="M159" s="247"/>
      <c r="N159" s="246">
        <v>66810.399999999994</v>
      </c>
      <c r="O159" s="328"/>
      <c r="P159" s="247"/>
      <c r="Q159" s="246"/>
      <c r="R159" s="246">
        <v>15336.976666666666</v>
      </c>
      <c r="S159" s="246">
        <v>15336.976666666666</v>
      </c>
      <c r="T159" s="326"/>
      <c r="U159" s="326"/>
      <c r="V159" s="326"/>
      <c r="W159" s="326"/>
      <c r="X159" s="326"/>
      <c r="Y159" s="326"/>
      <c r="Z159" s="326"/>
      <c r="AA159" s="656"/>
      <c r="AB159" s="765"/>
      <c r="AC159" s="765"/>
      <c r="AD159" s="765"/>
      <c r="AE159" s="630"/>
    </row>
    <row r="160" spans="1:31" s="73" customFormat="1">
      <c r="A160" s="249"/>
      <c r="B160" s="325" t="s">
        <v>112</v>
      </c>
      <c r="C160" s="256">
        <v>-5.4309272013178832E-2</v>
      </c>
      <c r="D160" s="257">
        <v>6.759728432221025E-3</v>
      </c>
      <c r="E160" s="257">
        <v>1.7090855517042747E-2</v>
      </c>
      <c r="F160" s="257">
        <v>0</v>
      </c>
      <c r="G160" s="257">
        <v>-5.1984715110794569E-2</v>
      </c>
      <c r="H160" s="257">
        <v>0</v>
      </c>
      <c r="I160" s="256">
        <v>-1.31301572543516E-2</v>
      </c>
      <c r="J160" s="256">
        <v>0</v>
      </c>
      <c r="K160" s="257">
        <v>1.3055911555845384E-2</v>
      </c>
      <c r="L160" s="257">
        <v>-1.9398854940892819E-2</v>
      </c>
      <c r="M160" s="257">
        <v>0</v>
      </c>
      <c r="N160" s="256">
        <v>-1.6770609245799154E-3</v>
      </c>
      <c r="O160" s="652">
        <v>0</v>
      </c>
      <c r="P160" s="257">
        <v>0</v>
      </c>
      <c r="Q160" s="256">
        <v>0</v>
      </c>
      <c r="R160" s="256">
        <v>0.15511539748664779</v>
      </c>
      <c r="S160" s="256">
        <v>0.15511539748664779</v>
      </c>
      <c r="T160" s="327">
        <v>0</v>
      </c>
      <c r="U160" s="327">
        <v>0</v>
      </c>
      <c r="V160" s="327">
        <v>0</v>
      </c>
      <c r="W160" s="327">
        <v>0</v>
      </c>
      <c r="X160" s="327">
        <v>0</v>
      </c>
      <c r="Y160" s="327">
        <v>0</v>
      </c>
      <c r="Z160" s="327">
        <v>0</v>
      </c>
      <c r="AA160" s="655">
        <v>0</v>
      </c>
      <c r="AB160" s="766"/>
      <c r="AC160" s="766"/>
      <c r="AD160" s="766"/>
      <c r="AE160" s="630"/>
    </row>
    <row r="161" spans="1:37" s="73" customFormat="1">
      <c r="A161" s="638" t="s">
        <v>33</v>
      </c>
      <c r="B161" s="636" t="s">
        <v>102</v>
      </c>
      <c r="C161" s="633">
        <v>170734.5</v>
      </c>
      <c r="D161" s="637">
        <v>42519</v>
      </c>
      <c r="E161" s="637">
        <v>139009.73333333331</v>
      </c>
      <c r="F161" s="637">
        <v>2565.4666666666667</v>
      </c>
      <c r="G161" s="637">
        <v>9391.1666666666661</v>
      </c>
      <c r="H161" s="637">
        <v>1649.3666666666666</v>
      </c>
      <c r="I161" s="633">
        <v>365869.23333333328</v>
      </c>
      <c r="J161" s="633">
        <v>24936.866666666665</v>
      </c>
      <c r="K161" s="637">
        <v>372371.03333333344</v>
      </c>
      <c r="L161" s="637">
        <v>81383.166666666672</v>
      </c>
      <c r="M161" s="637">
        <v>13711.800000000001</v>
      </c>
      <c r="N161" s="633">
        <v>492402.86666666676</v>
      </c>
      <c r="O161" s="633">
        <v>82996.899999999994</v>
      </c>
      <c r="P161" s="637">
        <v>82996.899999999994</v>
      </c>
      <c r="Q161" s="633"/>
      <c r="R161" s="633"/>
      <c r="S161" s="633"/>
      <c r="T161" s="645">
        <v>67418.333333333343</v>
      </c>
      <c r="U161" s="645">
        <v>67418.333333333343</v>
      </c>
      <c r="V161" s="645">
        <v>13811.866666666665</v>
      </c>
      <c r="W161" s="645">
        <v>13811.866666666665</v>
      </c>
      <c r="X161" s="645">
        <v>1766.7</v>
      </c>
      <c r="Y161" s="645">
        <v>1766.7</v>
      </c>
      <c r="Z161" s="645">
        <v>3525.7</v>
      </c>
      <c r="AA161" s="653">
        <v>3525.7</v>
      </c>
      <c r="AB161" s="765"/>
      <c r="AC161" s="765"/>
      <c r="AD161" s="765"/>
      <c r="AE161" s="630"/>
    </row>
    <row r="162" spans="1:37" s="73" customFormat="1">
      <c r="A162" s="244"/>
      <c r="B162" s="245" t="s">
        <v>100</v>
      </c>
      <c r="C162" s="246">
        <v>175886.23333333337</v>
      </c>
      <c r="D162" s="247">
        <v>44420.633333333331</v>
      </c>
      <c r="E162" s="247">
        <v>142673.56666666665</v>
      </c>
      <c r="F162" s="247">
        <v>3033.3666666666668</v>
      </c>
      <c r="G162" s="247">
        <v>9496.5333333333347</v>
      </c>
      <c r="H162" s="247">
        <v>1805.5333333333333</v>
      </c>
      <c r="I162" s="246">
        <v>377315.86666666664</v>
      </c>
      <c r="J162" s="246">
        <v>25594.699999999997</v>
      </c>
      <c r="K162" s="247">
        <v>378903.30000000005</v>
      </c>
      <c r="L162" s="247">
        <v>80430.799999999988</v>
      </c>
      <c r="M162" s="247">
        <v>13868.266666666668</v>
      </c>
      <c r="N162" s="246">
        <v>498797.06666666671</v>
      </c>
      <c r="O162" s="246">
        <v>84649.8</v>
      </c>
      <c r="P162" s="247">
        <v>84649.8</v>
      </c>
      <c r="Q162" s="246"/>
      <c r="R162" s="246"/>
      <c r="S162" s="246"/>
      <c r="T162" s="326">
        <v>68868.066666666666</v>
      </c>
      <c r="U162" s="326">
        <v>68868.066666666666</v>
      </c>
      <c r="V162" s="326">
        <v>13715.599999999999</v>
      </c>
      <c r="W162" s="326">
        <v>13715.599999999999</v>
      </c>
      <c r="X162" s="326">
        <v>2066.1333333333332</v>
      </c>
      <c r="Y162" s="326">
        <v>2066.1333333333332</v>
      </c>
      <c r="Z162" s="326">
        <v>3889.7333333333331</v>
      </c>
      <c r="AA162" s="654">
        <v>3889.7333333333331</v>
      </c>
      <c r="AB162" s="765"/>
      <c r="AC162" s="765"/>
      <c r="AD162" s="765"/>
      <c r="AE162" s="630"/>
    </row>
    <row r="163" spans="1:37" s="73" customFormat="1">
      <c r="A163" s="244"/>
      <c r="B163" s="248" t="s">
        <v>114</v>
      </c>
      <c r="C163" s="256">
        <v>3.0173944535716955E-2</v>
      </c>
      <c r="D163" s="257">
        <v>4.472431932391005E-2</v>
      </c>
      <c r="E163" s="257">
        <v>2.635666759066279E-2</v>
      </c>
      <c r="F163" s="663">
        <v>0.18238397172704124</v>
      </c>
      <c r="G163" s="257">
        <v>1.1219763252702214E-2</v>
      </c>
      <c r="H163" s="257">
        <v>9.4682807542289013E-2</v>
      </c>
      <c r="I163" s="256">
        <v>3.128613255901911E-2</v>
      </c>
      <c r="J163" s="256">
        <v>2.6379951504198557E-2</v>
      </c>
      <c r="K163" s="257">
        <v>1.7542359855953538E-2</v>
      </c>
      <c r="L163" s="663">
        <v>-1.1702256199582834E-2</v>
      </c>
      <c r="M163" s="257">
        <v>1.141109603893487E-2</v>
      </c>
      <c r="N163" s="256">
        <v>1.2985708314993585E-2</v>
      </c>
      <c r="O163" s="652">
        <v>1.9915201652110005E-2</v>
      </c>
      <c r="P163" s="257">
        <v>1.9915201652110005E-2</v>
      </c>
      <c r="Q163" s="256">
        <v>0</v>
      </c>
      <c r="R163" s="256">
        <v>0</v>
      </c>
      <c r="S163" s="256">
        <v>0</v>
      </c>
      <c r="T163" s="327">
        <v>2.1503547501915736E-2</v>
      </c>
      <c r="U163" s="327">
        <v>2.1503547501915736E-2</v>
      </c>
      <c r="V163" s="327">
        <v>-6.9698520113139258E-3</v>
      </c>
      <c r="W163" s="327">
        <v>-6.9698520113139258E-3</v>
      </c>
      <c r="X163" s="327">
        <v>0.16948736816286475</v>
      </c>
      <c r="Y163" s="327">
        <v>0.16948736816286475</v>
      </c>
      <c r="Z163" s="327">
        <v>0.10325136379536924</v>
      </c>
      <c r="AA163" s="655">
        <v>0.10325136379536924</v>
      </c>
      <c r="AB163" s="766"/>
      <c r="AC163" s="766"/>
      <c r="AD163" s="766"/>
      <c r="AE163" s="630"/>
    </row>
    <row r="164" spans="1:37" s="73" customFormat="1">
      <c r="A164" s="244"/>
      <c r="B164" s="245" t="s">
        <v>98</v>
      </c>
      <c r="C164" s="246">
        <v>0</v>
      </c>
      <c r="D164" s="247">
        <v>0</v>
      </c>
      <c r="E164" s="247">
        <v>0</v>
      </c>
      <c r="F164" s="247">
        <v>0</v>
      </c>
      <c r="G164" s="247">
        <v>0</v>
      </c>
      <c r="H164" s="247">
        <v>0</v>
      </c>
      <c r="I164" s="246">
        <v>0</v>
      </c>
      <c r="J164" s="246">
        <v>544.48222222222216</v>
      </c>
      <c r="K164" s="247">
        <v>15006.622222222222</v>
      </c>
      <c r="L164" s="247">
        <v>5181.8466666666664</v>
      </c>
      <c r="M164" s="247">
        <v>904.23222222222216</v>
      </c>
      <c r="N164" s="246">
        <v>21637.183333333334</v>
      </c>
      <c r="O164" s="328">
        <v>6175.8133333333335</v>
      </c>
      <c r="P164" s="247">
        <v>6175.8133333333335</v>
      </c>
      <c r="Q164" s="246"/>
      <c r="R164" s="246"/>
      <c r="S164" s="246"/>
      <c r="T164" s="326">
        <v>5040.3055555555557</v>
      </c>
      <c r="U164" s="326">
        <v>5040.3055555555557</v>
      </c>
      <c r="V164" s="326">
        <v>807.75888888888881</v>
      </c>
      <c r="W164" s="326">
        <v>807.75888888888881</v>
      </c>
      <c r="X164" s="326">
        <v>327.74888888888887</v>
      </c>
      <c r="Y164" s="326">
        <v>327.74888888888887</v>
      </c>
      <c r="Z164" s="326">
        <v>0</v>
      </c>
      <c r="AA164" s="656">
        <v>0</v>
      </c>
      <c r="AB164" s="765"/>
      <c r="AC164" s="765"/>
      <c r="AD164" s="765"/>
      <c r="AE164" s="630"/>
    </row>
    <row r="165" spans="1:37" s="73" customFormat="1">
      <c r="A165" s="244"/>
      <c r="B165" s="245" t="s">
        <v>96</v>
      </c>
      <c r="C165" s="246">
        <v>0</v>
      </c>
      <c r="D165" s="247">
        <v>0</v>
      </c>
      <c r="E165" s="247">
        <v>0</v>
      </c>
      <c r="F165" s="247">
        <v>0</v>
      </c>
      <c r="G165" s="247">
        <v>0</v>
      </c>
      <c r="H165" s="247">
        <v>0</v>
      </c>
      <c r="I165" s="246">
        <v>0</v>
      </c>
      <c r="J165" s="246">
        <v>470.8944444444445</v>
      </c>
      <c r="K165" s="247">
        <v>13117.441111111111</v>
      </c>
      <c r="L165" s="247">
        <v>4603.4433333333336</v>
      </c>
      <c r="M165" s="247">
        <v>866.83</v>
      </c>
      <c r="N165" s="246">
        <v>19058.608888888892</v>
      </c>
      <c r="O165" s="328">
        <v>4426.0055555555555</v>
      </c>
      <c r="P165" s="247">
        <v>4426.0055555555555</v>
      </c>
      <c r="Q165" s="246"/>
      <c r="R165" s="246"/>
      <c r="S165" s="246"/>
      <c r="T165" s="326">
        <v>3439.1888888888889</v>
      </c>
      <c r="U165" s="326">
        <v>3439.1888888888889</v>
      </c>
      <c r="V165" s="326">
        <v>655.28222222222223</v>
      </c>
      <c r="W165" s="326">
        <v>655.28222222222223</v>
      </c>
      <c r="X165" s="326">
        <v>331.53444444444443</v>
      </c>
      <c r="Y165" s="326">
        <v>331.53444444444443</v>
      </c>
      <c r="Z165" s="326">
        <v>0</v>
      </c>
      <c r="AA165" s="656">
        <v>0</v>
      </c>
      <c r="AB165" s="765"/>
      <c r="AC165" s="765"/>
      <c r="AD165" s="765"/>
      <c r="AE165" s="630"/>
    </row>
    <row r="166" spans="1:37" s="73" customFormat="1">
      <c r="A166" s="244"/>
      <c r="B166" s="248" t="s">
        <v>116</v>
      </c>
      <c r="C166" s="256">
        <v>0</v>
      </c>
      <c r="D166" s="257">
        <v>0</v>
      </c>
      <c r="E166" s="257">
        <v>0</v>
      </c>
      <c r="F166" s="257">
        <v>0</v>
      </c>
      <c r="G166" s="257">
        <v>0</v>
      </c>
      <c r="H166" s="257">
        <v>0</v>
      </c>
      <c r="I166" s="256">
        <v>0</v>
      </c>
      <c r="J166" s="665">
        <v>-0.13515184660656179</v>
      </c>
      <c r="K166" s="663">
        <v>-0.12588982937902971</v>
      </c>
      <c r="L166" s="663">
        <v>-0.11162108231685733</v>
      </c>
      <c r="M166" s="257">
        <v>-4.1363514043221333E-2</v>
      </c>
      <c r="N166" s="256">
        <v>-0.11917329555885432</v>
      </c>
      <c r="O166" s="652">
        <v>-0.28333236180137861</v>
      </c>
      <c r="P166" s="257">
        <v>-0.28333236180137861</v>
      </c>
      <c r="Q166" s="256">
        <v>0</v>
      </c>
      <c r="R166" s="256">
        <v>0</v>
      </c>
      <c r="S166" s="256">
        <v>0</v>
      </c>
      <c r="T166" s="327">
        <v>-0.31766261966040421</v>
      </c>
      <c r="U166" s="327">
        <v>-0.31766261966040421</v>
      </c>
      <c r="V166" s="327">
        <v>-0.18876507428646877</v>
      </c>
      <c r="W166" s="327">
        <v>-0.18876507428646877</v>
      </c>
      <c r="X166" s="327">
        <v>1.1550170523503784E-2</v>
      </c>
      <c r="Y166" s="327">
        <v>1.1550170523503784E-2</v>
      </c>
      <c r="Z166" s="327">
        <v>0</v>
      </c>
      <c r="AA166" s="655">
        <v>0</v>
      </c>
      <c r="AB166" s="766"/>
      <c r="AC166" s="766"/>
      <c r="AD166" s="766"/>
      <c r="AE166" s="630"/>
    </row>
    <row r="167" spans="1:37" s="73" customFormat="1">
      <c r="A167" s="244"/>
      <c r="B167" s="245" t="s">
        <v>104</v>
      </c>
      <c r="C167" s="246">
        <v>45519.5</v>
      </c>
      <c r="D167" s="247">
        <v>9297.25</v>
      </c>
      <c r="E167" s="247">
        <v>27992</v>
      </c>
      <c r="F167" s="247">
        <v>1537.7916666666667</v>
      </c>
      <c r="G167" s="247">
        <v>234.375</v>
      </c>
      <c r="H167" s="247">
        <v>41.5</v>
      </c>
      <c r="I167" s="246">
        <v>84622.416666666672</v>
      </c>
      <c r="J167" s="246">
        <v>0</v>
      </c>
      <c r="K167" s="247">
        <v>0</v>
      </c>
      <c r="L167" s="247">
        <v>0</v>
      </c>
      <c r="M167" s="247">
        <v>0</v>
      </c>
      <c r="N167" s="246">
        <v>0</v>
      </c>
      <c r="O167" s="328">
        <v>0</v>
      </c>
      <c r="P167" s="247">
        <v>0</v>
      </c>
      <c r="Q167" s="246"/>
      <c r="R167" s="246"/>
      <c r="S167" s="246"/>
      <c r="T167" s="326">
        <v>0</v>
      </c>
      <c r="U167" s="326">
        <v>0</v>
      </c>
      <c r="V167" s="326">
        <v>0</v>
      </c>
      <c r="W167" s="326">
        <v>0</v>
      </c>
      <c r="X167" s="326">
        <v>0</v>
      </c>
      <c r="Y167" s="326">
        <v>0</v>
      </c>
      <c r="Z167" s="326">
        <v>1221.5416666666667</v>
      </c>
      <c r="AA167" s="656">
        <v>1221.5416666666667</v>
      </c>
      <c r="AB167" s="765"/>
      <c r="AC167" s="765"/>
      <c r="AD167" s="765"/>
      <c r="AE167" s="630"/>
    </row>
    <row r="168" spans="1:37" s="73" customFormat="1">
      <c r="A168" s="244"/>
      <c r="B168" s="245" t="s">
        <v>106</v>
      </c>
      <c r="C168" s="246">
        <v>46534.666666666664</v>
      </c>
      <c r="D168" s="247">
        <v>9660.0416666666679</v>
      </c>
      <c r="E168" s="247">
        <v>27744.25</v>
      </c>
      <c r="F168" s="247">
        <v>1451.625</v>
      </c>
      <c r="G168" s="247">
        <v>226.875</v>
      </c>
      <c r="H168" s="247">
        <v>50.458333333333336</v>
      </c>
      <c r="I168" s="246">
        <v>85667.916666666657</v>
      </c>
      <c r="J168" s="246">
        <v>0</v>
      </c>
      <c r="K168" s="247">
        <v>0</v>
      </c>
      <c r="L168" s="247">
        <v>0</v>
      </c>
      <c r="M168" s="247">
        <v>0</v>
      </c>
      <c r="N168" s="246">
        <v>0</v>
      </c>
      <c r="O168" s="328">
        <v>0</v>
      </c>
      <c r="P168" s="247">
        <v>0</v>
      </c>
      <c r="Q168" s="246"/>
      <c r="R168" s="246"/>
      <c r="S168" s="246"/>
      <c r="T168" s="326">
        <v>0</v>
      </c>
      <c r="U168" s="326">
        <v>0</v>
      </c>
      <c r="V168" s="326">
        <v>0</v>
      </c>
      <c r="W168" s="326">
        <v>0</v>
      </c>
      <c r="X168" s="326">
        <v>0</v>
      </c>
      <c r="Y168" s="326">
        <v>0</v>
      </c>
      <c r="Z168" s="326">
        <v>1259.125</v>
      </c>
      <c r="AA168" s="656">
        <v>1259.125</v>
      </c>
      <c r="AB168" s="765"/>
      <c r="AC168" s="765"/>
      <c r="AD168" s="765"/>
      <c r="AE168" s="630"/>
    </row>
    <row r="169" spans="1:37" s="73" customFormat="1">
      <c r="A169" s="244"/>
      <c r="B169" s="248" t="s">
        <v>108</v>
      </c>
      <c r="C169" s="256">
        <v>2.2301797398184608E-2</v>
      </c>
      <c r="D169" s="257">
        <v>3.9021395215431215E-2</v>
      </c>
      <c r="E169" s="257">
        <v>-8.8507430694484135E-3</v>
      </c>
      <c r="F169" s="663">
        <v>-5.6032730918254038E-2</v>
      </c>
      <c r="G169" s="257">
        <v>-3.2000000000000001E-2</v>
      </c>
      <c r="H169" s="257">
        <v>0.21586345381526109</v>
      </c>
      <c r="I169" s="256">
        <v>1.2354882325310131E-2</v>
      </c>
      <c r="J169" s="256">
        <v>0</v>
      </c>
      <c r="K169" s="257">
        <v>0</v>
      </c>
      <c r="L169" s="257">
        <v>0</v>
      </c>
      <c r="M169" s="257">
        <v>0</v>
      </c>
      <c r="N169" s="256">
        <v>0</v>
      </c>
      <c r="O169" s="652">
        <v>0</v>
      </c>
      <c r="P169" s="257">
        <v>0</v>
      </c>
      <c r="Q169" s="256">
        <v>0</v>
      </c>
      <c r="R169" s="256">
        <v>0</v>
      </c>
      <c r="S169" s="256">
        <v>0</v>
      </c>
      <c r="T169" s="327">
        <v>0</v>
      </c>
      <c r="U169" s="327">
        <v>0</v>
      </c>
      <c r="V169" s="327">
        <v>0</v>
      </c>
      <c r="W169" s="327">
        <v>0</v>
      </c>
      <c r="X169" s="327">
        <v>0</v>
      </c>
      <c r="Y169" s="327">
        <v>0</v>
      </c>
      <c r="Z169" s="327">
        <v>3.0767131698331961E-2</v>
      </c>
      <c r="AA169" s="655">
        <v>3.0767131698331961E-2</v>
      </c>
      <c r="AB169" s="766"/>
      <c r="AC169" s="766"/>
      <c r="AD169" s="766"/>
      <c r="AE169" s="630"/>
      <c r="AF169" s="216">
        <v>7</v>
      </c>
      <c r="AG169" s="323" t="s">
        <v>260</v>
      </c>
      <c r="AH169" s="73" t="s">
        <v>5</v>
      </c>
      <c r="AI169" s="73" t="s">
        <v>6</v>
      </c>
      <c r="AJ169" s="73">
        <v>11</v>
      </c>
      <c r="AK169" s="73" t="s">
        <v>160</v>
      </c>
    </row>
    <row r="170" spans="1:37" s="73" customFormat="1">
      <c r="A170" s="244"/>
      <c r="B170" s="245" t="s">
        <v>9</v>
      </c>
      <c r="C170" s="246">
        <v>216254</v>
      </c>
      <c r="D170" s="247">
        <v>51816.25</v>
      </c>
      <c r="E170" s="247">
        <v>167001.73333333337</v>
      </c>
      <c r="F170" s="247">
        <v>4103.2583333333332</v>
      </c>
      <c r="G170" s="247">
        <v>9625.5416666666661</v>
      </c>
      <c r="H170" s="247">
        <v>1690.8666666666666</v>
      </c>
      <c r="I170" s="246">
        <v>450491.65000000008</v>
      </c>
      <c r="J170" s="246">
        <v>25481.34888888889</v>
      </c>
      <c r="K170" s="247">
        <v>387377.65555555548</v>
      </c>
      <c r="L170" s="247">
        <v>86565.013333333307</v>
      </c>
      <c r="M170" s="247">
        <v>14616.032222222224</v>
      </c>
      <c r="N170" s="246">
        <v>514040.04999999993</v>
      </c>
      <c r="O170" s="328">
        <v>89172.713333333348</v>
      </c>
      <c r="P170" s="247">
        <v>89172.713333333348</v>
      </c>
      <c r="Q170" s="246"/>
      <c r="R170" s="246"/>
      <c r="S170" s="246"/>
      <c r="T170" s="326">
        <v>72458.638888888891</v>
      </c>
      <c r="U170" s="326">
        <v>72458.638888888891</v>
      </c>
      <c r="V170" s="326">
        <v>14619.625555555554</v>
      </c>
      <c r="W170" s="326">
        <v>14619.625555555554</v>
      </c>
      <c r="X170" s="326">
        <v>2094.4488888888886</v>
      </c>
      <c r="Y170" s="326">
        <v>2094.4488888888886</v>
      </c>
      <c r="Z170" s="326">
        <v>4747.2416666666668</v>
      </c>
      <c r="AA170" s="656">
        <v>4747.2416666666668</v>
      </c>
      <c r="AB170" s="765"/>
      <c r="AC170" s="765"/>
      <c r="AD170" s="765"/>
      <c r="AE170" s="630" t="s">
        <v>261</v>
      </c>
      <c r="AF170" s="780">
        <f>+GETPIVOTDATA("Grand Total FTE - Old",$A$2,"State","TX","Category","7","Category2","Two-Year")</f>
        <v>25481.34888888889</v>
      </c>
      <c r="AG170" s="73">
        <f>+GETPIVOTDATA("Grand Total FTE - Old",$A$2,"State","TX","Category","8","Category2","Two-Year")-GETPIVOTDATA("Grand Total FTE - Old",$A$2,"State","TX","Category","08b","Category2","08b")</f>
        <v>314919.0166666666</v>
      </c>
      <c r="AH170" s="73">
        <f>+GETPIVOTDATA("Grand Total FTE - Old",$A$2,"State","TX","Category","9","Category2","Two-Year")-GETPIVOTDATA("Grand Total FTE - Old",$A$2,"State","TX","Category","09b","Category2","09b")</f>
        <v>71945.387777777752</v>
      </c>
      <c r="AI170" s="73">
        <f>+GETPIVOTDATA("Grand Total FTE - Old",$A$2,"State","TX","Category","10","Category2","Two-Year")-GETPIVOTDATA("Grand Total FTE - Old",$A$2,"State","TX","Category","10b","Category2","10b")</f>
        <v>12521.583333333336</v>
      </c>
      <c r="AJ170" s="73">
        <f>+GETPIVOTDATA("Grand Total FTE - Old",$A$2,"State","TX","Category","11","Category2","11")</f>
        <v>89172.713333333348</v>
      </c>
      <c r="AK170" s="73">
        <f>SUM(AF170:AJ170)</f>
        <v>514040.04999999993</v>
      </c>
    </row>
    <row r="171" spans="1:37" s="73" customFormat="1">
      <c r="A171" s="244"/>
      <c r="B171" s="245" t="s">
        <v>110</v>
      </c>
      <c r="C171" s="246">
        <v>222420.89999999997</v>
      </c>
      <c r="D171" s="247">
        <v>54080.675000000003</v>
      </c>
      <c r="E171" s="247">
        <v>170417.81666666668</v>
      </c>
      <c r="F171" s="247">
        <v>4484.9916666666668</v>
      </c>
      <c r="G171" s="247">
        <v>9723.4083333333347</v>
      </c>
      <c r="H171" s="247">
        <v>1855.9916666666666</v>
      </c>
      <c r="I171" s="246">
        <v>462983.78333333321</v>
      </c>
      <c r="J171" s="246">
        <v>26065.594444444443</v>
      </c>
      <c r="K171" s="247">
        <v>392020.74111111107</v>
      </c>
      <c r="L171" s="247">
        <v>85034.243333333317</v>
      </c>
      <c r="M171" s="247">
        <v>14735.096666666668</v>
      </c>
      <c r="N171" s="246">
        <v>517855.6755555555</v>
      </c>
      <c r="O171" s="328">
        <v>89075.805555555562</v>
      </c>
      <c r="P171" s="247">
        <v>89075.805555555562</v>
      </c>
      <c r="Q171" s="246"/>
      <c r="R171" s="246"/>
      <c r="S171" s="246"/>
      <c r="T171" s="326">
        <v>72307.255555555545</v>
      </c>
      <c r="U171" s="326">
        <v>72307.255555555545</v>
      </c>
      <c r="V171" s="326">
        <v>14370.882222222222</v>
      </c>
      <c r="W171" s="326">
        <v>14370.882222222222</v>
      </c>
      <c r="X171" s="326">
        <v>2397.6677777777777</v>
      </c>
      <c r="Y171" s="326">
        <v>2397.6677777777777</v>
      </c>
      <c r="Z171" s="326">
        <v>5148.8583333333336</v>
      </c>
      <c r="AA171" s="656">
        <v>5148.8583333333336</v>
      </c>
      <c r="AB171" s="765"/>
      <c r="AC171" s="765"/>
      <c r="AD171" s="765"/>
      <c r="AE171" s="630" t="s">
        <v>262</v>
      </c>
      <c r="AF171" s="780">
        <f>+GETPIVOTDATA("Grand Total FTE - New",$A$2,"State","TX","Category","7","Category2","Two-Year")</f>
        <v>26065.594444444443</v>
      </c>
      <c r="AG171" s="73">
        <f>+GETPIVOTDATA("Grand Total FTE - New",$A$2,"State","TX","Category","8","Category2","Two-Year")-GETPIVOTDATA("Grand Total FTE - New",$A$2,"State","TX","Category","08b","Category2","08b")</f>
        <v>319713.48555555556</v>
      </c>
      <c r="AH171" s="73">
        <f>+GETPIVOTDATA("Grand Total FTE - New",$A$2,"State","TX","Category","9","Category2","Two-Year")-GETPIVOTDATA("Grand Total FTE - New",$A$2,"State","TX","Category","09b","Category2","09b")</f>
        <v>70663.361111111095</v>
      </c>
      <c r="AI171" s="73">
        <f>+GETPIVOTDATA("Grand Total FTE - New",$A$2,"State","TX","Category","10","Category2","Two-Year")-GETPIVOTDATA("Grand Total FTE - New",$A$2,"State","TX","Category","10b","Category2","10b")</f>
        <v>12337.428888888891</v>
      </c>
      <c r="AJ171" s="73">
        <f>+GETPIVOTDATA("Grand Total FTE - New",$A$2,"State","TX","Category","11","Category2","11")</f>
        <v>89075.805555555562</v>
      </c>
      <c r="AK171" s="73">
        <f>SUM(AF171:AJ171)</f>
        <v>517855.67555555556</v>
      </c>
    </row>
    <row r="172" spans="1:37" s="73" customFormat="1">
      <c r="A172" s="249"/>
      <c r="B172" s="325" t="s">
        <v>112</v>
      </c>
      <c r="C172" s="256">
        <v>2.8516929166627972E-2</v>
      </c>
      <c r="D172" s="257">
        <v>4.3701059030709533E-2</v>
      </c>
      <c r="E172" s="257">
        <v>2.0455376511062041E-2</v>
      </c>
      <c r="F172" s="257">
        <v>9.303175728232245E-2</v>
      </c>
      <c r="G172" s="257">
        <v>1.0167393177007556E-2</v>
      </c>
      <c r="H172" s="257">
        <v>9.7657020068603884E-2</v>
      </c>
      <c r="I172" s="256">
        <v>2.7729999731034797E-2</v>
      </c>
      <c r="J172" s="256">
        <v>2.2928360586527387E-2</v>
      </c>
      <c r="K172" s="257">
        <v>1.1985940564632555E-2</v>
      </c>
      <c r="L172" s="257">
        <v>-1.7683472121762394E-2</v>
      </c>
      <c r="M172" s="257">
        <v>8.1461536642905442E-3</v>
      </c>
      <c r="N172" s="256">
        <v>7.4228176492389768E-3</v>
      </c>
      <c r="O172" s="652">
        <v>-1.0867425040162022E-3</v>
      </c>
      <c r="P172" s="257">
        <v>-1.0867425040162022E-3</v>
      </c>
      <c r="Q172" s="256">
        <v>0</v>
      </c>
      <c r="R172" s="256">
        <v>0</v>
      </c>
      <c r="S172" s="256">
        <v>0</v>
      </c>
      <c r="T172" s="327">
        <v>-2.0892378832216749E-3</v>
      </c>
      <c r="U172" s="327">
        <v>-2.0892378832216749E-3</v>
      </c>
      <c r="V172" s="327">
        <v>-1.7014343656620388E-2</v>
      </c>
      <c r="W172" s="327">
        <v>-1.7014343656620388E-2</v>
      </c>
      <c r="X172" s="327">
        <v>0.14477263708724236</v>
      </c>
      <c r="Y172" s="327">
        <v>0.14477263708724236</v>
      </c>
      <c r="Z172" s="327">
        <v>8.4600004564053879E-2</v>
      </c>
      <c r="AA172" s="655">
        <v>8.4600004564053879E-2</v>
      </c>
      <c r="AB172" s="766"/>
      <c r="AC172" s="766"/>
      <c r="AD172" s="766"/>
      <c r="AE172" s="630"/>
      <c r="AF172" s="779"/>
      <c r="AG172" s="216"/>
    </row>
    <row r="173" spans="1:37" s="73" customFormat="1">
      <c r="A173" s="638" t="s">
        <v>166</v>
      </c>
      <c r="B173" s="636" t="s">
        <v>102</v>
      </c>
      <c r="C173" s="633">
        <v>74656.150000000009</v>
      </c>
      <c r="D173" s="637">
        <v>27259.966666666667</v>
      </c>
      <c r="E173" s="637">
        <v>22623.1</v>
      </c>
      <c r="F173" s="637">
        <v>17083.900000000001</v>
      </c>
      <c r="G173" s="637">
        <v>8813.2999999999993</v>
      </c>
      <c r="H173" s="637">
        <v>1689.9766666666667</v>
      </c>
      <c r="I173" s="633">
        <v>152126.39333333331</v>
      </c>
      <c r="J173" s="633"/>
      <c r="K173" s="637">
        <v>70279.899999999994</v>
      </c>
      <c r="L173" s="637">
        <v>46073.933333333342</v>
      </c>
      <c r="M173" s="637">
        <v>9766.3666666666668</v>
      </c>
      <c r="N173" s="633">
        <v>126120.20000000001</v>
      </c>
      <c r="O173" s="633">
        <v>124177.93333333333</v>
      </c>
      <c r="P173" s="637">
        <v>124177.93333333333</v>
      </c>
      <c r="Q173" s="633"/>
      <c r="R173" s="633"/>
      <c r="S173" s="633"/>
      <c r="T173" s="645">
        <v>70279.899999999994</v>
      </c>
      <c r="U173" s="645">
        <v>70279.899999999994</v>
      </c>
      <c r="V173" s="645">
        <v>46073.933333333334</v>
      </c>
      <c r="W173" s="645">
        <v>46073.933333333334</v>
      </c>
      <c r="X173" s="645">
        <v>10535</v>
      </c>
      <c r="Y173" s="645">
        <v>10535</v>
      </c>
      <c r="Z173" s="645"/>
      <c r="AA173" s="653"/>
      <c r="AB173" s="765"/>
      <c r="AC173" s="765"/>
      <c r="AD173" s="765"/>
      <c r="AE173" s="630"/>
      <c r="AF173" s="780"/>
    </row>
    <row r="174" spans="1:37" s="73" customFormat="1">
      <c r="A174" s="244"/>
      <c r="B174" s="245" t="s">
        <v>100</v>
      </c>
      <c r="C174" s="246">
        <v>76295.200000000012</v>
      </c>
      <c r="D174" s="247">
        <v>27516.916666666668</v>
      </c>
      <c r="E174" s="247">
        <v>23152.966666666667</v>
      </c>
      <c r="F174" s="247">
        <v>17628.966666666667</v>
      </c>
      <c r="G174" s="247">
        <v>8915.3333333333321</v>
      </c>
      <c r="H174" s="247">
        <v>1723.6666666666667</v>
      </c>
      <c r="I174" s="246">
        <v>155233.05000000002</v>
      </c>
      <c r="J174" s="246"/>
      <c r="K174" s="247">
        <v>73884.600000000006</v>
      </c>
      <c r="L174" s="247">
        <v>46546.633333333339</v>
      </c>
      <c r="M174" s="247">
        <v>9872.6666666666679</v>
      </c>
      <c r="N174" s="246">
        <v>130303.90000000001</v>
      </c>
      <c r="O174" s="246">
        <v>128277.03333333334</v>
      </c>
      <c r="P174" s="247">
        <v>128277.03333333334</v>
      </c>
      <c r="Q174" s="246"/>
      <c r="R174" s="246"/>
      <c r="S174" s="246"/>
      <c r="T174" s="326">
        <v>73884.600000000006</v>
      </c>
      <c r="U174" s="326">
        <v>73884.600000000006</v>
      </c>
      <c r="V174" s="326">
        <v>46546.633333333331</v>
      </c>
      <c r="W174" s="326">
        <v>46546.633333333331</v>
      </c>
      <c r="X174" s="326">
        <v>10724.433333333334</v>
      </c>
      <c r="Y174" s="326">
        <v>10724.433333333334</v>
      </c>
      <c r="Z174" s="326"/>
      <c r="AA174" s="654"/>
      <c r="AB174" s="765"/>
      <c r="AC174" s="765"/>
      <c r="AD174" s="765"/>
      <c r="AE174" s="630"/>
      <c r="AF174" s="781"/>
      <c r="AG174" s="83"/>
    </row>
    <row r="175" spans="1:37" s="73" customFormat="1">
      <c r="A175" s="244"/>
      <c r="B175" s="248" t="s">
        <v>114</v>
      </c>
      <c r="C175" s="256">
        <v>2.1954654773920203E-2</v>
      </c>
      <c r="D175" s="257">
        <v>9.4259102786870882E-3</v>
      </c>
      <c r="E175" s="257">
        <v>2.3421488066032888E-2</v>
      </c>
      <c r="F175" s="257">
        <v>3.1905283141827431E-2</v>
      </c>
      <c r="G175" s="257">
        <v>1.1577199611193634E-2</v>
      </c>
      <c r="H175" s="257">
        <v>1.9935186481864674E-2</v>
      </c>
      <c r="I175" s="256">
        <v>2.0421549466827192E-2</v>
      </c>
      <c r="J175" s="256">
        <v>0</v>
      </c>
      <c r="K175" s="663">
        <v>5.1290625057804747E-2</v>
      </c>
      <c r="L175" s="257">
        <v>1.0259597256004414E-2</v>
      </c>
      <c r="M175" s="257">
        <v>1.0884293374199319E-2</v>
      </c>
      <c r="N175" s="256">
        <v>3.3172322911001105E-2</v>
      </c>
      <c r="O175" s="652">
        <v>3.3009890646164233E-2</v>
      </c>
      <c r="P175" s="257">
        <v>3.3009890646164233E-2</v>
      </c>
      <c r="Q175" s="256">
        <v>0</v>
      </c>
      <c r="R175" s="256">
        <v>0</v>
      </c>
      <c r="S175" s="256">
        <v>0</v>
      </c>
      <c r="T175" s="327">
        <v>5.1290625057804747E-2</v>
      </c>
      <c r="U175" s="327">
        <v>5.1290625057804747E-2</v>
      </c>
      <c r="V175" s="327">
        <v>1.0259597256004416E-2</v>
      </c>
      <c r="W175" s="327">
        <v>1.0259597256004416E-2</v>
      </c>
      <c r="X175" s="327">
        <v>1.7981332067710899E-2</v>
      </c>
      <c r="Y175" s="327">
        <v>1.7981332067710899E-2</v>
      </c>
      <c r="Z175" s="327">
        <v>0</v>
      </c>
      <c r="AA175" s="655">
        <v>0</v>
      </c>
      <c r="AB175" s="766"/>
      <c r="AC175" s="766"/>
      <c r="AD175" s="766"/>
      <c r="AE175" s="630"/>
      <c r="AF175" s="780"/>
    </row>
    <row r="176" spans="1:37" s="73" customFormat="1">
      <c r="A176" s="244"/>
      <c r="B176" s="245" t="s">
        <v>98</v>
      </c>
      <c r="C176" s="246">
        <v>0</v>
      </c>
      <c r="D176" s="247">
        <v>0</v>
      </c>
      <c r="E176" s="247">
        <v>0</v>
      </c>
      <c r="F176" s="247">
        <v>0</v>
      </c>
      <c r="G176" s="247">
        <v>0</v>
      </c>
      <c r="H176" s="247">
        <v>0</v>
      </c>
      <c r="I176" s="246">
        <v>0</v>
      </c>
      <c r="J176" s="246"/>
      <c r="K176" s="247">
        <v>0</v>
      </c>
      <c r="L176" s="247">
        <v>0</v>
      </c>
      <c r="M176" s="247">
        <v>0</v>
      </c>
      <c r="N176" s="246">
        <v>0</v>
      </c>
      <c r="O176" s="328">
        <v>0</v>
      </c>
      <c r="P176" s="247">
        <v>0</v>
      </c>
      <c r="Q176" s="246"/>
      <c r="R176" s="246"/>
      <c r="S176" s="246"/>
      <c r="T176" s="326">
        <v>0</v>
      </c>
      <c r="U176" s="326">
        <v>0</v>
      </c>
      <c r="V176" s="326">
        <v>0</v>
      </c>
      <c r="W176" s="326">
        <v>0</v>
      </c>
      <c r="X176" s="326">
        <v>0</v>
      </c>
      <c r="Y176" s="326">
        <v>0</v>
      </c>
      <c r="Z176" s="326"/>
      <c r="AA176" s="656"/>
      <c r="AB176" s="765"/>
      <c r="AC176" s="765"/>
      <c r="AD176" s="765"/>
      <c r="AE176" s="630"/>
      <c r="AF176" s="780"/>
    </row>
    <row r="177" spans="1:37" s="73" customFormat="1">
      <c r="A177" s="244"/>
      <c r="B177" s="245" t="s">
        <v>96</v>
      </c>
      <c r="C177" s="246">
        <v>0</v>
      </c>
      <c r="D177" s="247">
        <v>0</v>
      </c>
      <c r="E177" s="247">
        <v>0</v>
      </c>
      <c r="F177" s="247">
        <v>0</v>
      </c>
      <c r="G177" s="247">
        <v>0</v>
      </c>
      <c r="H177" s="247">
        <v>0</v>
      </c>
      <c r="I177" s="246">
        <v>0</v>
      </c>
      <c r="J177" s="246"/>
      <c r="K177" s="247">
        <v>0</v>
      </c>
      <c r="L177" s="247">
        <v>0</v>
      </c>
      <c r="M177" s="247">
        <v>0</v>
      </c>
      <c r="N177" s="246">
        <v>0</v>
      </c>
      <c r="O177" s="328">
        <v>0</v>
      </c>
      <c r="P177" s="247">
        <v>0</v>
      </c>
      <c r="Q177" s="246"/>
      <c r="R177" s="246"/>
      <c r="S177" s="246"/>
      <c r="T177" s="326">
        <v>0</v>
      </c>
      <c r="U177" s="326">
        <v>0</v>
      </c>
      <c r="V177" s="326">
        <v>0</v>
      </c>
      <c r="W177" s="326">
        <v>0</v>
      </c>
      <c r="X177" s="326">
        <v>0</v>
      </c>
      <c r="Y177" s="326">
        <v>0</v>
      </c>
      <c r="Z177" s="326"/>
      <c r="AA177" s="656"/>
      <c r="AB177" s="765"/>
      <c r="AC177" s="765"/>
      <c r="AD177" s="765"/>
      <c r="AE177" s="630"/>
      <c r="AF177" s="780"/>
    </row>
    <row r="178" spans="1:37" s="73" customFormat="1">
      <c r="A178" s="244"/>
      <c r="B178" s="248" t="s">
        <v>116</v>
      </c>
      <c r="C178" s="256">
        <v>0</v>
      </c>
      <c r="D178" s="257">
        <v>0</v>
      </c>
      <c r="E178" s="257">
        <v>0</v>
      </c>
      <c r="F178" s="257">
        <v>0</v>
      </c>
      <c r="G178" s="257">
        <v>0</v>
      </c>
      <c r="H178" s="257">
        <v>0</v>
      </c>
      <c r="I178" s="256">
        <v>0</v>
      </c>
      <c r="J178" s="256">
        <v>0</v>
      </c>
      <c r="K178" s="257">
        <v>0</v>
      </c>
      <c r="L178" s="257">
        <v>0</v>
      </c>
      <c r="M178" s="257">
        <v>0</v>
      </c>
      <c r="N178" s="256">
        <v>0</v>
      </c>
      <c r="O178" s="652">
        <v>0</v>
      </c>
      <c r="P178" s="257">
        <v>0</v>
      </c>
      <c r="Q178" s="256">
        <v>0</v>
      </c>
      <c r="R178" s="256">
        <v>0</v>
      </c>
      <c r="S178" s="256">
        <v>0</v>
      </c>
      <c r="T178" s="327">
        <v>0</v>
      </c>
      <c r="U178" s="327">
        <v>0</v>
      </c>
      <c r="V178" s="327">
        <v>0</v>
      </c>
      <c r="W178" s="327">
        <v>0</v>
      </c>
      <c r="X178" s="327">
        <v>0</v>
      </c>
      <c r="Y178" s="327">
        <v>0</v>
      </c>
      <c r="Z178" s="327">
        <v>0</v>
      </c>
      <c r="AA178" s="655">
        <v>0</v>
      </c>
      <c r="AB178" s="766"/>
      <c r="AC178" s="766"/>
      <c r="AD178" s="766"/>
      <c r="AE178" s="630"/>
      <c r="AF178" s="780"/>
    </row>
    <row r="179" spans="1:37" s="73" customFormat="1">
      <c r="A179" s="244"/>
      <c r="B179" s="245" t="s">
        <v>104</v>
      </c>
      <c r="C179" s="246">
        <v>24714.199999999997</v>
      </c>
      <c r="D179" s="247">
        <v>8394.3333333333339</v>
      </c>
      <c r="E179" s="247">
        <v>1995.75</v>
      </c>
      <c r="F179" s="247">
        <v>1604.875</v>
      </c>
      <c r="G179" s="247">
        <v>654.125</v>
      </c>
      <c r="H179" s="247">
        <v>0</v>
      </c>
      <c r="I179" s="246">
        <v>37363.283333333333</v>
      </c>
      <c r="J179" s="246"/>
      <c r="K179" s="247">
        <v>0</v>
      </c>
      <c r="L179" s="247">
        <v>0</v>
      </c>
      <c r="M179" s="247">
        <v>0</v>
      </c>
      <c r="N179" s="246">
        <v>0</v>
      </c>
      <c r="O179" s="328">
        <v>0</v>
      </c>
      <c r="P179" s="247">
        <v>0</v>
      </c>
      <c r="Q179" s="246"/>
      <c r="R179" s="246"/>
      <c r="S179" s="246"/>
      <c r="T179" s="326">
        <v>0</v>
      </c>
      <c r="U179" s="326">
        <v>0</v>
      </c>
      <c r="V179" s="326">
        <v>0</v>
      </c>
      <c r="W179" s="326">
        <v>0</v>
      </c>
      <c r="X179" s="326">
        <v>0</v>
      </c>
      <c r="Y179" s="326">
        <v>0</v>
      </c>
      <c r="Z179" s="326"/>
      <c r="AA179" s="656"/>
      <c r="AB179" s="765"/>
      <c r="AC179" s="765"/>
      <c r="AD179" s="765"/>
      <c r="AE179" s="630"/>
      <c r="AF179" s="780"/>
    </row>
    <row r="180" spans="1:37" s="73" customFormat="1">
      <c r="A180" s="244"/>
      <c r="B180" s="245" t="s">
        <v>106</v>
      </c>
      <c r="C180" s="246">
        <v>25017.437499999996</v>
      </c>
      <c r="D180" s="247">
        <v>8147.979166666667</v>
      </c>
      <c r="E180" s="247">
        <v>2001</v>
      </c>
      <c r="F180" s="247">
        <v>1588.8333333333333</v>
      </c>
      <c r="G180" s="247">
        <v>563.08333333333326</v>
      </c>
      <c r="H180" s="247">
        <v>0</v>
      </c>
      <c r="I180" s="246">
        <v>37318.333333333336</v>
      </c>
      <c r="J180" s="246"/>
      <c r="K180" s="247">
        <v>0</v>
      </c>
      <c r="L180" s="247">
        <v>0</v>
      </c>
      <c r="M180" s="247">
        <v>0</v>
      </c>
      <c r="N180" s="246">
        <v>0</v>
      </c>
      <c r="O180" s="328">
        <v>0</v>
      </c>
      <c r="P180" s="247">
        <v>0</v>
      </c>
      <c r="Q180" s="246"/>
      <c r="R180" s="246"/>
      <c r="S180" s="246"/>
      <c r="T180" s="326">
        <v>0</v>
      </c>
      <c r="U180" s="326">
        <v>0</v>
      </c>
      <c r="V180" s="326">
        <v>0</v>
      </c>
      <c r="W180" s="326">
        <v>0</v>
      </c>
      <c r="X180" s="326">
        <v>0</v>
      </c>
      <c r="Y180" s="326">
        <v>0</v>
      </c>
      <c r="Z180" s="326"/>
      <c r="AA180" s="656"/>
      <c r="AB180" s="765"/>
      <c r="AC180" s="765"/>
      <c r="AD180" s="765"/>
      <c r="AE180" s="630"/>
      <c r="AF180" s="780"/>
    </row>
    <row r="181" spans="1:37" s="73" customFormat="1">
      <c r="A181" s="244"/>
      <c r="B181" s="248" t="s">
        <v>108</v>
      </c>
      <c r="C181" s="256">
        <v>1.226976798763461E-2</v>
      </c>
      <c r="D181" s="663">
        <v>-2.9347675018861964E-2</v>
      </c>
      <c r="E181" s="257">
        <v>2.6305900037579856E-3</v>
      </c>
      <c r="F181" s="257">
        <v>-9.9955863644624922E-3</v>
      </c>
      <c r="G181" s="257">
        <v>-0.1391808395439201</v>
      </c>
      <c r="H181" s="257">
        <v>0</v>
      </c>
      <c r="I181" s="256">
        <v>-1.2030527295735633E-3</v>
      </c>
      <c r="J181" s="256">
        <v>0</v>
      </c>
      <c r="K181" s="257">
        <v>0</v>
      </c>
      <c r="L181" s="257">
        <v>0</v>
      </c>
      <c r="M181" s="257">
        <v>0</v>
      </c>
      <c r="N181" s="256">
        <v>0</v>
      </c>
      <c r="O181" s="652">
        <v>0</v>
      </c>
      <c r="P181" s="257">
        <v>0</v>
      </c>
      <c r="Q181" s="256">
        <v>0</v>
      </c>
      <c r="R181" s="256">
        <v>0</v>
      </c>
      <c r="S181" s="256">
        <v>0</v>
      </c>
      <c r="T181" s="327">
        <v>0</v>
      </c>
      <c r="U181" s="327">
        <v>0</v>
      </c>
      <c r="V181" s="327">
        <v>0</v>
      </c>
      <c r="W181" s="327">
        <v>0</v>
      </c>
      <c r="X181" s="327">
        <v>0</v>
      </c>
      <c r="Y181" s="327">
        <v>0</v>
      </c>
      <c r="Z181" s="327">
        <v>0</v>
      </c>
      <c r="AA181" s="655">
        <v>0</v>
      </c>
      <c r="AB181" s="766"/>
      <c r="AC181" s="766"/>
      <c r="AD181" s="766"/>
      <c r="AE181" s="630"/>
      <c r="AF181" s="779"/>
      <c r="AG181" s="216"/>
      <c r="AI181" s="73" t="s">
        <v>167</v>
      </c>
      <c r="AJ181" s="73">
        <v>11</v>
      </c>
      <c r="AK181" s="73" t="s">
        <v>160</v>
      </c>
    </row>
    <row r="182" spans="1:37" s="73" customFormat="1">
      <c r="A182" s="244"/>
      <c r="B182" s="245" t="s">
        <v>9</v>
      </c>
      <c r="C182" s="246">
        <v>99370.349999999991</v>
      </c>
      <c r="D182" s="247">
        <v>35654.300000000003</v>
      </c>
      <c r="E182" s="247">
        <v>24618.850000000002</v>
      </c>
      <c r="F182" s="247">
        <v>18688.775000000001</v>
      </c>
      <c r="G182" s="247">
        <v>9467.4249999999993</v>
      </c>
      <c r="H182" s="247">
        <v>1689.9766666666667</v>
      </c>
      <c r="I182" s="246">
        <v>189489.67666666664</v>
      </c>
      <c r="J182" s="246"/>
      <c r="K182" s="247">
        <v>70279.899999999994</v>
      </c>
      <c r="L182" s="247">
        <v>46073.933333333342</v>
      </c>
      <c r="M182" s="247">
        <v>9766.3666666666668</v>
      </c>
      <c r="N182" s="246">
        <v>126120.20000000001</v>
      </c>
      <c r="O182" s="328">
        <v>124177.93333333333</v>
      </c>
      <c r="P182" s="247">
        <v>124177.93333333333</v>
      </c>
      <c r="Q182" s="246"/>
      <c r="R182" s="246"/>
      <c r="S182" s="246"/>
      <c r="T182" s="326">
        <v>70279.899999999994</v>
      </c>
      <c r="U182" s="326">
        <v>70279.899999999994</v>
      </c>
      <c r="V182" s="326">
        <v>46073.933333333334</v>
      </c>
      <c r="W182" s="326">
        <v>46073.933333333334</v>
      </c>
      <c r="X182" s="326">
        <v>10535</v>
      </c>
      <c r="Y182" s="326">
        <v>10535</v>
      </c>
      <c r="Z182" s="326"/>
      <c r="AA182" s="656"/>
      <c r="AB182" s="765"/>
      <c r="AC182" s="765"/>
      <c r="AD182" s="765"/>
      <c r="AE182" s="630" t="s">
        <v>261</v>
      </c>
      <c r="AF182" s="780"/>
      <c r="AI182" s="73">
        <f>+GETPIVOTDATA("Grand Total FTE - Old",$A$2,"State","VA","Category","10b","Category2","10b")</f>
        <v>10535</v>
      </c>
      <c r="AJ182" s="73">
        <f>+GETPIVOTDATA("Grand Total FTE - Old",$A$2,"State","VA","Category","11","Category2","11")</f>
        <v>124177.93333333333</v>
      </c>
      <c r="AK182" s="73">
        <f>+AJ182+AI182</f>
        <v>134712.93333333335</v>
      </c>
    </row>
    <row r="183" spans="1:37" s="73" customFormat="1">
      <c r="A183" s="244"/>
      <c r="B183" s="245" t="s">
        <v>110</v>
      </c>
      <c r="C183" s="246">
        <v>101312.6375</v>
      </c>
      <c r="D183" s="247">
        <v>35664.895833333336</v>
      </c>
      <c r="E183" s="247">
        <v>25153.966666666667</v>
      </c>
      <c r="F183" s="247">
        <v>19217.8</v>
      </c>
      <c r="G183" s="247">
        <v>9478.4166666666661</v>
      </c>
      <c r="H183" s="247">
        <v>1723.6666666666667</v>
      </c>
      <c r="I183" s="246">
        <v>192551.3833333333</v>
      </c>
      <c r="J183" s="246"/>
      <c r="K183" s="247">
        <v>73884.600000000006</v>
      </c>
      <c r="L183" s="247">
        <v>46546.633333333339</v>
      </c>
      <c r="M183" s="247">
        <v>9872.6666666666679</v>
      </c>
      <c r="N183" s="246">
        <v>130303.90000000001</v>
      </c>
      <c r="O183" s="328">
        <v>128277.03333333334</v>
      </c>
      <c r="P183" s="247">
        <v>128277.03333333334</v>
      </c>
      <c r="Q183" s="246"/>
      <c r="R183" s="246"/>
      <c r="S183" s="246"/>
      <c r="T183" s="326">
        <v>73884.600000000006</v>
      </c>
      <c r="U183" s="326">
        <v>73884.600000000006</v>
      </c>
      <c r="V183" s="326">
        <v>46546.633333333331</v>
      </c>
      <c r="W183" s="326">
        <v>46546.633333333331</v>
      </c>
      <c r="X183" s="326">
        <v>10724.433333333334</v>
      </c>
      <c r="Y183" s="326">
        <v>10724.433333333334</v>
      </c>
      <c r="Z183" s="326"/>
      <c r="AA183" s="656"/>
      <c r="AB183" s="765"/>
      <c r="AC183" s="765"/>
      <c r="AD183" s="765"/>
      <c r="AE183" s="630" t="s">
        <v>262</v>
      </c>
      <c r="AF183" s="780"/>
      <c r="AI183" s="73">
        <f>+GETPIVOTDATA("Grand Total FTE - New",$A$2,"State","VA","Category","10b","Category2","10b")</f>
        <v>10724.433333333334</v>
      </c>
      <c r="AJ183" s="73">
        <f>+GETPIVOTDATA("Grand Total FTE - New",$A$2,"State","VA","Category","11","Category2","11")</f>
        <v>128277.03333333334</v>
      </c>
      <c r="AK183" s="73">
        <f>+AJ183+AI183</f>
        <v>139001.46666666667</v>
      </c>
    </row>
    <row r="184" spans="1:37" s="73" customFormat="1">
      <c r="A184" s="249"/>
      <c r="B184" s="325" t="s">
        <v>112</v>
      </c>
      <c r="C184" s="256">
        <v>1.9545946049299476E-2</v>
      </c>
      <c r="D184" s="257">
        <v>2.9718248102845513E-4</v>
      </c>
      <c r="E184" s="257">
        <v>2.1736054554403025E-2</v>
      </c>
      <c r="F184" s="257">
        <v>2.8307098779882457E-2</v>
      </c>
      <c r="G184" s="257">
        <v>1.1609985467713542E-3</v>
      </c>
      <c r="H184" s="257">
        <v>1.9935186481864674E-2</v>
      </c>
      <c r="I184" s="256">
        <v>1.615764362748149E-2</v>
      </c>
      <c r="J184" s="256">
        <v>0</v>
      </c>
      <c r="K184" s="257">
        <v>5.1290625057804747E-2</v>
      </c>
      <c r="L184" s="257">
        <v>1.0259597256004414E-2</v>
      </c>
      <c r="M184" s="257">
        <v>1.0884293374199319E-2</v>
      </c>
      <c r="N184" s="256">
        <v>3.3172322911001105E-2</v>
      </c>
      <c r="O184" s="652">
        <v>3.3009890646164233E-2</v>
      </c>
      <c r="P184" s="257">
        <v>3.3009890646164233E-2</v>
      </c>
      <c r="Q184" s="256">
        <v>0</v>
      </c>
      <c r="R184" s="256">
        <v>0</v>
      </c>
      <c r="S184" s="256">
        <v>0</v>
      </c>
      <c r="T184" s="327">
        <v>5.1290625057804747E-2</v>
      </c>
      <c r="U184" s="327">
        <v>5.1290625057804747E-2</v>
      </c>
      <c r="V184" s="327">
        <v>1.0259597256004416E-2</v>
      </c>
      <c r="W184" s="327">
        <v>1.0259597256004416E-2</v>
      </c>
      <c r="X184" s="327">
        <v>1.7981332067710899E-2</v>
      </c>
      <c r="Y184" s="327">
        <v>1.7981332067710899E-2</v>
      </c>
      <c r="Z184" s="327">
        <v>0</v>
      </c>
      <c r="AA184" s="655">
        <v>0</v>
      </c>
      <c r="AB184" s="766"/>
      <c r="AC184" s="766"/>
      <c r="AD184" s="766"/>
      <c r="AE184" s="630"/>
      <c r="AF184" s="780"/>
    </row>
    <row r="185" spans="1:37" s="73" customFormat="1">
      <c r="A185" s="638" t="s">
        <v>165</v>
      </c>
      <c r="B185" s="636" t="s">
        <v>102</v>
      </c>
      <c r="C185" s="633">
        <v>21447.833333333332</v>
      </c>
      <c r="D185" s="637"/>
      <c r="E185" s="637">
        <v>8805.7333333333336</v>
      </c>
      <c r="F185" s="637"/>
      <c r="G185" s="637">
        <v>7673.05</v>
      </c>
      <c r="H185" s="637">
        <v>12196.146666666666</v>
      </c>
      <c r="I185" s="633">
        <v>50122.763333333336</v>
      </c>
      <c r="J185" s="633">
        <v>4993.0333333333328</v>
      </c>
      <c r="K185" s="637"/>
      <c r="L185" s="637">
        <v>2555.5433333333335</v>
      </c>
      <c r="M185" s="637">
        <v>11955.54</v>
      </c>
      <c r="N185" s="633">
        <v>19504.116666666669</v>
      </c>
      <c r="O185" s="633"/>
      <c r="P185" s="637"/>
      <c r="Q185" s="633"/>
      <c r="R185" s="633"/>
      <c r="S185" s="633"/>
      <c r="T185" s="645"/>
      <c r="U185" s="645"/>
      <c r="V185" s="645"/>
      <c r="W185" s="645"/>
      <c r="X185" s="645"/>
      <c r="Y185" s="645"/>
      <c r="Z185" s="645"/>
      <c r="AA185" s="653"/>
      <c r="AB185" s="765"/>
      <c r="AC185" s="765"/>
      <c r="AD185" s="765"/>
      <c r="AE185" s="630"/>
      <c r="AF185" s="780"/>
    </row>
    <row r="186" spans="1:37" s="73" customFormat="1">
      <c r="A186" s="244"/>
      <c r="B186" s="245" t="s">
        <v>100</v>
      </c>
      <c r="C186" s="246">
        <v>21854.6</v>
      </c>
      <c r="D186" s="247"/>
      <c r="E186" s="247">
        <v>9014.8666666666668</v>
      </c>
      <c r="F186" s="247"/>
      <c r="G186" s="247">
        <v>7748.6833333333334</v>
      </c>
      <c r="H186" s="247">
        <v>11982.406666666666</v>
      </c>
      <c r="I186" s="246">
        <v>50600.556666666671</v>
      </c>
      <c r="J186" s="246">
        <v>4952.2</v>
      </c>
      <c r="K186" s="247"/>
      <c r="L186" s="247">
        <v>2388.8566666666666</v>
      </c>
      <c r="M186" s="247">
        <v>12182.58</v>
      </c>
      <c r="N186" s="246">
        <v>19523.636666666665</v>
      </c>
      <c r="O186" s="246"/>
      <c r="P186" s="247"/>
      <c r="Q186" s="246"/>
      <c r="R186" s="246"/>
      <c r="S186" s="246"/>
      <c r="T186" s="326"/>
      <c r="U186" s="326"/>
      <c r="V186" s="326"/>
      <c r="W186" s="326"/>
      <c r="X186" s="326"/>
      <c r="Y186" s="326"/>
      <c r="Z186" s="326"/>
      <c r="AA186" s="654"/>
      <c r="AB186" s="765"/>
      <c r="AC186" s="765"/>
      <c r="AD186" s="765"/>
      <c r="AE186" s="630"/>
      <c r="AF186" s="780"/>
    </row>
    <row r="187" spans="1:37" s="73" customFormat="1">
      <c r="A187" s="244"/>
      <c r="B187" s="248" t="s">
        <v>114</v>
      </c>
      <c r="C187" s="256">
        <v>1.8965396660113289E-2</v>
      </c>
      <c r="D187" s="257">
        <v>0</v>
      </c>
      <c r="E187" s="257">
        <v>2.3749678239934572E-2</v>
      </c>
      <c r="F187" s="257">
        <v>0</v>
      </c>
      <c r="G187" s="257">
        <v>9.8570103587664899E-3</v>
      </c>
      <c r="H187" s="257">
        <v>-1.7525207415238241E-2</v>
      </c>
      <c r="I187" s="256">
        <v>9.5324619306369901E-3</v>
      </c>
      <c r="J187" s="256">
        <v>-8.1780614322622264E-3</v>
      </c>
      <c r="K187" s="257">
        <v>0</v>
      </c>
      <c r="L187" s="663">
        <v>-6.5225529339488247E-2</v>
      </c>
      <c r="M187" s="663">
        <v>1.8990359281136529E-2</v>
      </c>
      <c r="N187" s="256">
        <v>1.0008143579947179E-3</v>
      </c>
      <c r="O187" s="652">
        <v>0</v>
      </c>
      <c r="P187" s="257">
        <v>0</v>
      </c>
      <c r="Q187" s="256">
        <v>0</v>
      </c>
      <c r="R187" s="256">
        <v>0</v>
      </c>
      <c r="S187" s="256">
        <v>0</v>
      </c>
      <c r="T187" s="327">
        <v>0</v>
      </c>
      <c r="U187" s="327">
        <v>0</v>
      </c>
      <c r="V187" s="327">
        <v>0</v>
      </c>
      <c r="W187" s="327">
        <v>0</v>
      </c>
      <c r="X187" s="327">
        <v>0</v>
      </c>
      <c r="Y187" s="327">
        <v>0</v>
      </c>
      <c r="Z187" s="327">
        <v>0</v>
      </c>
      <c r="AA187" s="655">
        <v>0</v>
      </c>
      <c r="AB187" s="766"/>
      <c r="AC187" s="766"/>
      <c r="AD187" s="766"/>
      <c r="AE187" s="630"/>
      <c r="AF187" s="780"/>
    </row>
    <row r="188" spans="1:37" s="73" customFormat="1">
      <c r="A188" s="244"/>
      <c r="B188" s="245" t="s">
        <v>98</v>
      </c>
      <c r="C188" s="246">
        <v>0</v>
      </c>
      <c r="D188" s="247"/>
      <c r="E188" s="247">
        <v>0</v>
      </c>
      <c r="F188" s="247"/>
      <c r="G188" s="247">
        <v>0</v>
      </c>
      <c r="H188" s="247">
        <v>0</v>
      </c>
      <c r="I188" s="246">
        <v>0</v>
      </c>
      <c r="J188" s="246">
        <v>0</v>
      </c>
      <c r="K188" s="247"/>
      <c r="L188" s="247">
        <v>0</v>
      </c>
      <c r="M188" s="247">
        <v>0</v>
      </c>
      <c r="N188" s="246">
        <v>0</v>
      </c>
      <c r="O188" s="328"/>
      <c r="P188" s="247"/>
      <c r="Q188" s="246"/>
      <c r="R188" s="246"/>
      <c r="S188" s="246"/>
      <c r="T188" s="326"/>
      <c r="U188" s="326"/>
      <c r="V188" s="326"/>
      <c r="W188" s="326"/>
      <c r="X188" s="326"/>
      <c r="Y188" s="326"/>
      <c r="Z188" s="326"/>
      <c r="AA188" s="656"/>
      <c r="AB188" s="765"/>
      <c r="AC188" s="765"/>
      <c r="AD188" s="765"/>
      <c r="AE188" s="630"/>
      <c r="AF188" s="780"/>
    </row>
    <row r="189" spans="1:37" s="73" customFormat="1">
      <c r="A189" s="244"/>
      <c r="B189" s="245" t="s">
        <v>96</v>
      </c>
      <c r="C189" s="246">
        <v>0</v>
      </c>
      <c r="D189" s="247"/>
      <c r="E189" s="247">
        <v>0</v>
      </c>
      <c r="F189" s="247"/>
      <c r="G189" s="247">
        <v>0</v>
      </c>
      <c r="H189" s="247">
        <v>0</v>
      </c>
      <c r="I189" s="246">
        <v>0</v>
      </c>
      <c r="J189" s="246">
        <v>0</v>
      </c>
      <c r="K189" s="247"/>
      <c r="L189" s="247">
        <v>0</v>
      </c>
      <c r="M189" s="247">
        <v>0</v>
      </c>
      <c r="N189" s="246">
        <v>0</v>
      </c>
      <c r="O189" s="328"/>
      <c r="P189" s="247"/>
      <c r="Q189" s="246"/>
      <c r="R189" s="246"/>
      <c r="S189" s="246"/>
      <c r="T189" s="326"/>
      <c r="U189" s="326"/>
      <c r="V189" s="326"/>
      <c r="W189" s="326"/>
      <c r="X189" s="326"/>
      <c r="Y189" s="326"/>
      <c r="Z189" s="326"/>
      <c r="AA189" s="656"/>
      <c r="AB189" s="765"/>
      <c r="AC189" s="765"/>
      <c r="AD189" s="765"/>
      <c r="AE189" s="630"/>
      <c r="AF189" s="780"/>
    </row>
    <row r="190" spans="1:37" s="73" customFormat="1">
      <c r="A190" s="244"/>
      <c r="B190" s="248" t="s">
        <v>116</v>
      </c>
      <c r="C190" s="256">
        <v>0</v>
      </c>
      <c r="D190" s="257">
        <v>0</v>
      </c>
      <c r="E190" s="257">
        <v>0</v>
      </c>
      <c r="F190" s="257">
        <v>0</v>
      </c>
      <c r="G190" s="257">
        <v>0</v>
      </c>
      <c r="H190" s="257">
        <v>0</v>
      </c>
      <c r="I190" s="256">
        <v>0</v>
      </c>
      <c r="J190" s="256">
        <v>0</v>
      </c>
      <c r="K190" s="257">
        <v>0</v>
      </c>
      <c r="L190" s="257">
        <v>0</v>
      </c>
      <c r="M190" s="257">
        <v>0</v>
      </c>
      <c r="N190" s="256">
        <v>0</v>
      </c>
      <c r="O190" s="652">
        <v>0</v>
      </c>
      <c r="P190" s="257">
        <v>0</v>
      </c>
      <c r="Q190" s="256">
        <v>0</v>
      </c>
      <c r="R190" s="256">
        <v>0</v>
      </c>
      <c r="S190" s="256">
        <v>0</v>
      </c>
      <c r="T190" s="327">
        <v>0</v>
      </c>
      <c r="U190" s="327">
        <v>0</v>
      </c>
      <c r="V190" s="327">
        <v>0</v>
      </c>
      <c r="W190" s="327">
        <v>0</v>
      </c>
      <c r="X190" s="327">
        <v>0</v>
      </c>
      <c r="Y190" s="327">
        <v>0</v>
      </c>
      <c r="Z190" s="327">
        <v>0</v>
      </c>
      <c r="AA190" s="655">
        <v>0</v>
      </c>
      <c r="AB190" s="766"/>
      <c r="AC190" s="766"/>
      <c r="AD190" s="766"/>
      <c r="AE190" s="630"/>
      <c r="AF190" s="780"/>
    </row>
    <row r="191" spans="1:37" s="73" customFormat="1">
      <c r="A191" s="244"/>
      <c r="B191" s="245" t="s">
        <v>104</v>
      </c>
      <c r="C191" s="246">
        <v>4969.833333333333</v>
      </c>
      <c r="D191" s="247"/>
      <c r="E191" s="247">
        <v>2477.6666666666665</v>
      </c>
      <c r="F191" s="247"/>
      <c r="G191" s="247">
        <v>316.16666666666669</v>
      </c>
      <c r="H191" s="247">
        <v>203.5</v>
      </c>
      <c r="I191" s="246">
        <v>7967.166666666667</v>
      </c>
      <c r="J191" s="246">
        <v>0</v>
      </c>
      <c r="K191" s="247"/>
      <c r="L191" s="247">
        <v>0</v>
      </c>
      <c r="M191" s="247">
        <v>0</v>
      </c>
      <c r="N191" s="246">
        <v>0</v>
      </c>
      <c r="O191" s="328"/>
      <c r="P191" s="247"/>
      <c r="Q191" s="246"/>
      <c r="R191" s="246"/>
      <c r="S191" s="246"/>
      <c r="T191" s="326"/>
      <c r="U191" s="326"/>
      <c r="V191" s="326"/>
      <c r="W191" s="326"/>
      <c r="X191" s="326"/>
      <c r="Y191" s="326"/>
      <c r="Z191" s="326"/>
      <c r="AA191" s="656"/>
      <c r="AB191" s="765"/>
      <c r="AC191" s="765"/>
      <c r="AD191" s="765"/>
      <c r="AE191" s="630"/>
      <c r="AF191" s="780"/>
    </row>
    <row r="192" spans="1:37" s="73" customFormat="1">
      <c r="A192" s="244"/>
      <c r="B192" s="245" t="s">
        <v>106</v>
      </c>
      <c r="C192" s="246">
        <v>4931.791666666667</v>
      </c>
      <c r="D192" s="247"/>
      <c r="E192" s="247">
        <v>2447.4166666666665</v>
      </c>
      <c r="F192" s="247"/>
      <c r="G192" s="247">
        <v>324.625</v>
      </c>
      <c r="H192" s="247">
        <v>262.25</v>
      </c>
      <c r="I192" s="246">
        <v>7966.0833333333339</v>
      </c>
      <c r="J192" s="246">
        <v>0</v>
      </c>
      <c r="K192" s="247"/>
      <c r="L192" s="247">
        <v>0</v>
      </c>
      <c r="M192" s="247">
        <v>0</v>
      </c>
      <c r="N192" s="246">
        <v>0</v>
      </c>
      <c r="O192" s="328"/>
      <c r="P192" s="247"/>
      <c r="Q192" s="246"/>
      <c r="R192" s="246"/>
      <c r="S192" s="246"/>
      <c r="T192" s="326"/>
      <c r="U192" s="326"/>
      <c r="V192" s="326"/>
      <c r="W192" s="326"/>
      <c r="X192" s="326"/>
      <c r="Y192" s="326"/>
      <c r="Z192" s="326"/>
      <c r="AA192" s="656"/>
      <c r="AB192" s="765"/>
      <c r="AC192" s="765"/>
      <c r="AD192" s="765"/>
      <c r="AE192" s="630"/>
      <c r="AF192" s="780"/>
    </row>
    <row r="193" spans="1:38" s="73" customFormat="1">
      <c r="A193" s="244"/>
      <c r="B193" s="248" t="s">
        <v>108</v>
      </c>
      <c r="C193" s="256">
        <v>-7.6545155773163542E-3</v>
      </c>
      <c r="D193" s="257">
        <v>0</v>
      </c>
      <c r="E193" s="257">
        <v>-1.2209067671196018E-2</v>
      </c>
      <c r="F193" s="257">
        <v>0</v>
      </c>
      <c r="G193" s="257">
        <v>2.6752767527675216E-2</v>
      </c>
      <c r="H193" s="257">
        <v>0.28869778869778867</v>
      </c>
      <c r="I193" s="256">
        <v>-1.359747296194419E-4</v>
      </c>
      <c r="J193" s="256">
        <v>0</v>
      </c>
      <c r="K193" s="257">
        <v>0</v>
      </c>
      <c r="L193" s="257">
        <v>0</v>
      </c>
      <c r="M193" s="257">
        <v>0</v>
      </c>
      <c r="N193" s="256">
        <v>0</v>
      </c>
      <c r="O193" s="652">
        <v>0</v>
      </c>
      <c r="P193" s="257">
        <v>0</v>
      </c>
      <c r="Q193" s="256">
        <v>0</v>
      </c>
      <c r="R193" s="256">
        <v>0</v>
      </c>
      <c r="S193" s="256">
        <v>0</v>
      </c>
      <c r="T193" s="327">
        <v>0</v>
      </c>
      <c r="U193" s="327">
        <v>0</v>
      </c>
      <c r="V193" s="327">
        <v>0</v>
      </c>
      <c r="W193" s="327">
        <v>0</v>
      </c>
      <c r="X193" s="327">
        <v>0</v>
      </c>
      <c r="Y193" s="327">
        <v>0</v>
      </c>
      <c r="Z193" s="327">
        <v>0</v>
      </c>
      <c r="AA193" s="655">
        <v>0</v>
      </c>
      <c r="AB193" s="766"/>
      <c r="AC193" s="766"/>
      <c r="AD193" s="766"/>
      <c r="AE193" s="630"/>
      <c r="AF193" s="780"/>
    </row>
    <row r="194" spans="1:38" s="73" customFormat="1">
      <c r="A194" s="244"/>
      <c r="B194" s="245" t="s">
        <v>9</v>
      </c>
      <c r="C194" s="246">
        <v>26417.666666666664</v>
      </c>
      <c r="D194" s="247"/>
      <c r="E194" s="247">
        <v>11283.4</v>
      </c>
      <c r="F194" s="247"/>
      <c r="G194" s="247">
        <v>7989.2166666666672</v>
      </c>
      <c r="H194" s="247">
        <v>12399.646666666666</v>
      </c>
      <c r="I194" s="246">
        <v>58089.93</v>
      </c>
      <c r="J194" s="246">
        <v>4993.0333333333328</v>
      </c>
      <c r="K194" s="247"/>
      <c r="L194" s="247">
        <v>2555.5433333333335</v>
      </c>
      <c r="M194" s="247">
        <v>11955.54</v>
      </c>
      <c r="N194" s="246">
        <v>19504.116666666669</v>
      </c>
      <c r="O194" s="328"/>
      <c r="P194" s="247"/>
      <c r="Q194" s="246"/>
      <c r="R194" s="246"/>
      <c r="S194" s="246"/>
      <c r="T194" s="326"/>
      <c r="U194" s="326"/>
      <c r="V194" s="326"/>
      <c r="W194" s="326"/>
      <c r="X194" s="326"/>
      <c r="Y194" s="326"/>
      <c r="Z194" s="326"/>
      <c r="AA194" s="656"/>
      <c r="AB194" s="765"/>
      <c r="AC194" s="765"/>
      <c r="AD194" s="765"/>
      <c r="AE194" s="630"/>
      <c r="AF194" s="780"/>
    </row>
    <row r="195" spans="1:38" s="73" customFormat="1">
      <c r="A195" s="244"/>
      <c r="B195" s="245" t="s">
        <v>110</v>
      </c>
      <c r="C195" s="246">
        <v>26786.391666666666</v>
      </c>
      <c r="D195" s="247"/>
      <c r="E195" s="247">
        <v>11462.283333333333</v>
      </c>
      <c r="F195" s="247"/>
      <c r="G195" s="247">
        <v>8073.3083333333343</v>
      </c>
      <c r="H195" s="247">
        <v>12244.656666666666</v>
      </c>
      <c r="I195" s="246">
        <v>58566.64</v>
      </c>
      <c r="J195" s="246">
        <v>4952.2</v>
      </c>
      <c r="K195" s="247"/>
      <c r="L195" s="247">
        <v>2388.8566666666666</v>
      </c>
      <c r="M195" s="247">
        <v>12182.58</v>
      </c>
      <c r="N195" s="246">
        <v>19523.636666666665</v>
      </c>
      <c r="O195" s="328"/>
      <c r="P195" s="247"/>
      <c r="Q195" s="246"/>
      <c r="R195" s="246"/>
      <c r="S195" s="246"/>
      <c r="T195" s="326"/>
      <c r="U195" s="326"/>
      <c r="V195" s="326"/>
      <c r="W195" s="326"/>
      <c r="X195" s="326"/>
      <c r="Y195" s="326"/>
      <c r="Z195" s="326"/>
      <c r="AA195" s="656"/>
      <c r="AB195" s="765"/>
      <c r="AC195" s="765"/>
      <c r="AD195" s="765"/>
      <c r="AE195" s="630"/>
      <c r="AF195" s="780"/>
    </row>
    <row r="196" spans="1:38" s="73" customFormat="1">
      <c r="A196" s="249"/>
      <c r="B196" s="325" t="s">
        <v>112</v>
      </c>
      <c r="C196" s="256">
        <v>1.3957515803818236E-2</v>
      </c>
      <c r="D196" s="257">
        <v>0</v>
      </c>
      <c r="E196" s="257">
        <v>1.5853672947279473E-2</v>
      </c>
      <c r="F196" s="257">
        <v>0</v>
      </c>
      <c r="G196" s="257">
        <v>1.0525646027040675E-2</v>
      </c>
      <c r="H196" s="257">
        <v>-1.2499549718352173E-2</v>
      </c>
      <c r="I196" s="256">
        <v>8.2064137450331542E-3</v>
      </c>
      <c r="J196" s="256">
        <v>-8.1780614322622264E-3</v>
      </c>
      <c r="K196" s="257">
        <v>0</v>
      </c>
      <c r="L196" s="257">
        <v>-6.5225529339488247E-2</v>
      </c>
      <c r="M196" s="257">
        <v>1.8990359281136529E-2</v>
      </c>
      <c r="N196" s="256">
        <v>1.0008143579947179E-3</v>
      </c>
      <c r="O196" s="652">
        <v>0</v>
      </c>
      <c r="P196" s="257">
        <v>0</v>
      </c>
      <c r="Q196" s="256">
        <v>0</v>
      </c>
      <c r="R196" s="256">
        <v>0</v>
      </c>
      <c r="S196" s="256">
        <v>0</v>
      </c>
      <c r="T196" s="327">
        <v>0</v>
      </c>
      <c r="U196" s="327">
        <v>0</v>
      </c>
      <c r="V196" s="327">
        <v>0</v>
      </c>
      <c r="W196" s="327">
        <v>0</v>
      </c>
      <c r="X196" s="327">
        <v>0</v>
      </c>
      <c r="Y196" s="327">
        <v>0</v>
      </c>
      <c r="Z196" s="327">
        <v>0</v>
      </c>
      <c r="AA196" s="655">
        <v>0</v>
      </c>
      <c r="AB196" s="766"/>
      <c r="AC196" s="766"/>
      <c r="AD196" s="766"/>
      <c r="AE196" s="630"/>
      <c r="AF196" s="780"/>
    </row>
    <row r="197" spans="1:38">
      <c r="A197" s="638" t="s">
        <v>103</v>
      </c>
      <c r="B197" s="636"/>
      <c r="C197" s="633">
        <v>838542.16666666674</v>
      </c>
      <c r="D197" s="637">
        <v>193405.23888888891</v>
      </c>
      <c r="E197" s="637">
        <v>538370.09999999986</v>
      </c>
      <c r="F197" s="637">
        <v>185066.09</v>
      </c>
      <c r="G197" s="637">
        <v>112721.15000000002</v>
      </c>
      <c r="H197" s="637">
        <v>66272.090000000011</v>
      </c>
      <c r="I197" s="633">
        <v>1934376.8355555558</v>
      </c>
      <c r="J197" s="633">
        <v>194323.06666666665</v>
      </c>
      <c r="K197" s="637">
        <v>1028993.5033333335</v>
      </c>
      <c r="L197" s="637">
        <v>461835.94666666671</v>
      </c>
      <c r="M197" s="637">
        <v>146918.98166666666</v>
      </c>
      <c r="N197" s="633">
        <v>1832071.4983333333</v>
      </c>
      <c r="O197" s="633">
        <v>207174.83333333331</v>
      </c>
      <c r="P197" s="637">
        <v>207174.83333333331</v>
      </c>
      <c r="Q197" s="633">
        <v>129124.27899299997</v>
      </c>
      <c r="R197" s="633">
        <v>2644.5</v>
      </c>
      <c r="S197" s="633">
        <v>131768.77899299999</v>
      </c>
      <c r="T197" s="645">
        <v>137698.23333333334</v>
      </c>
      <c r="U197" s="645">
        <v>137698.23333333334</v>
      </c>
      <c r="V197" s="645">
        <v>59885.8</v>
      </c>
      <c r="W197" s="645">
        <v>59885.8</v>
      </c>
      <c r="X197" s="645">
        <v>12301.7</v>
      </c>
      <c r="Y197" s="645">
        <v>12301.7</v>
      </c>
      <c r="Z197" s="645">
        <v>3525.7</v>
      </c>
      <c r="AA197" s="653">
        <v>3525.7</v>
      </c>
      <c r="AB197" s="765"/>
      <c r="AC197" s="765"/>
      <c r="AD197" s="765"/>
      <c r="AE197" s="630"/>
      <c r="AF197" s="780"/>
    </row>
    <row r="198" spans="1:38" s="73" customFormat="1">
      <c r="A198" s="244" t="s">
        <v>101</v>
      </c>
      <c r="B198" s="245"/>
      <c r="C198" s="246">
        <v>857777.60333333339</v>
      </c>
      <c r="D198" s="247">
        <v>198827.1</v>
      </c>
      <c r="E198" s="247">
        <v>547144.8666666667</v>
      </c>
      <c r="F198" s="247">
        <v>187890.98</v>
      </c>
      <c r="G198" s="247">
        <v>113307.21666666666</v>
      </c>
      <c r="H198" s="247">
        <v>68090.89</v>
      </c>
      <c r="I198" s="246">
        <v>1973038.6566666667</v>
      </c>
      <c r="J198" s="246">
        <v>198182.16666666669</v>
      </c>
      <c r="K198" s="247">
        <v>1048548.4763333334</v>
      </c>
      <c r="L198" s="247">
        <v>456039.52066666674</v>
      </c>
      <c r="M198" s="247">
        <v>145615.95766666663</v>
      </c>
      <c r="N198" s="246">
        <v>1848386.1213333332</v>
      </c>
      <c r="O198" s="246">
        <v>212926.83333333334</v>
      </c>
      <c r="P198" s="247">
        <v>212926.83333333334</v>
      </c>
      <c r="Q198" s="246">
        <v>121800.91666666666</v>
      </c>
      <c r="R198" s="246">
        <v>2468.5</v>
      </c>
      <c r="S198" s="246">
        <v>124269.41666666666</v>
      </c>
      <c r="T198" s="326">
        <v>142752.66666666669</v>
      </c>
      <c r="U198" s="326">
        <v>142752.66666666669</v>
      </c>
      <c r="V198" s="326">
        <v>60262.23333333333</v>
      </c>
      <c r="W198" s="326">
        <v>60262.23333333333</v>
      </c>
      <c r="X198" s="326">
        <v>12790.566666666668</v>
      </c>
      <c r="Y198" s="326">
        <v>12790.566666666668</v>
      </c>
      <c r="Z198" s="326">
        <v>3889.7333333333331</v>
      </c>
      <c r="AA198" s="654">
        <v>3889.7333333333331</v>
      </c>
      <c r="AB198" s="765"/>
      <c r="AC198" s="765"/>
      <c r="AD198" s="765"/>
      <c r="AE198" s="630"/>
      <c r="AF198" s="780"/>
    </row>
    <row r="199" spans="1:38" s="73" customFormat="1">
      <c r="A199" s="244" t="s">
        <v>115</v>
      </c>
      <c r="B199" s="248"/>
      <c r="C199" s="256">
        <v>2.2939140607717515E-2</v>
      </c>
      <c r="D199" s="257">
        <v>2.8033682759886235E-2</v>
      </c>
      <c r="E199" s="257">
        <v>1.6298763000892363E-2</v>
      </c>
      <c r="F199" s="257">
        <v>1.5264222635275619E-2</v>
      </c>
      <c r="G199" s="257">
        <v>5.199260889962855E-3</v>
      </c>
      <c r="H199" s="257">
        <v>2.7444433999289936E-2</v>
      </c>
      <c r="I199" s="256">
        <v>1.9986706002921732E-2</v>
      </c>
      <c r="J199" s="256">
        <v>1.9859196677972191E-2</v>
      </c>
      <c r="K199" s="257">
        <v>1.900398101314844E-2</v>
      </c>
      <c r="L199" s="257">
        <v>-1.2550833346421901E-2</v>
      </c>
      <c r="M199" s="257">
        <v>-8.8689969479666467E-3</v>
      </c>
      <c r="N199" s="256">
        <v>8.9050143593423225E-3</v>
      </c>
      <c r="O199" s="652">
        <v>2.7763989995567492E-2</v>
      </c>
      <c r="P199" s="257">
        <v>2.7763989995567492E-2</v>
      </c>
      <c r="Q199" s="256">
        <v>-5.6715610599694946E-2</v>
      </c>
      <c r="R199" s="256">
        <v>-6.6553223671771605E-2</v>
      </c>
      <c r="S199" s="256">
        <v>-5.6913044073450207E-2</v>
      </c>
      <c r="T199" s="327">
        <v>3.6706595364210788E-2</v>
      </c>
      <c r="U199" s="327">
        <v>3.6706595364210788E-2</v>
      </c>
      <c r="V199" s="327">
        <v>6.2858529623604767E-3</v>
      </c>
      <c r="W199" s="327">
        <v>6.2858529623604767E-3</v>
      </c>
      <c r="X199" s="327">
        <v>3.973976496473388E-2</v>
      </c>
      <c r="Y199" s="327">
        <v>3.973976496473388E-2</v>
      </c>
      <c r="Z199" s="327">
        <v>0.10325136379536924</v>
      </c>
      <c r="AA199" s="655">
        <v>0.10325136379536924</v>
      </c>
      <c r="AB199" s="766"/>
      <c r="AC199" s="766"/>
      <c r="AD199" s="766"/>
      <c r="AE199" s="630"/>
      <c r="AF199" s="780"/>
    </row>
    <row r="200" spans="1:38">
      <c r="A200" s="244" t="s">
        <v>99</v>
      </c>
      <c r="B200" s="245"/>
      <c r="C200" s="246">
        <v>0</v>
      </c>
      <c r="D200" s="247">
        <v>0</v>
      </c>
      <c r="E200" s="247">
        <v>0</v>
      </c>
      <c r="F200" s="247">
        <v>0</v>
      </c>
      <c r="G200" s="247">
        <v>0</v>
      </c>
      <c r="H200" s="247">
        <v>0</v>
      </c>
      <c r="I200" s="246">
        <v>0</v>
      </c>
      <c r="J200" s="246">
        <v>19623.815555555557</v>
      </c>
      <c r="K200" s="247">
        <v>26947.315555555557</v>
      </c>
      <c r="L200" s="247">
        <v>7645.55</v>
      </c>
      <c r="M200" s="247">
        <v>1073.4944444444443</v>
      </c>
      <c r="N200" s="246">
        <v>55290.175555555557</v>
      </c>
      <c r="O200" s="328">
        <v>6175.8133333333335</v>
      </c>
      <c r="P200" s="247">
        <v>6175.8133333333335</v>
      </c>
      <c r="Q200" s="246">
        <v>4723.4119777777778</v>
      </c>
      <c r="R200" s="246">
        <v>30199.296344444447</v>
      </c>
      <c r="S200" s="246">
        <v>34922.708322222228</v>
      </c>
      <c r="T200" s="326">
        <v>5040.3055555555557</v>
      </c>
      <c r="U200" s="326">
        <v>5040.3055555555557</v>
      </c>
      <c r="V200" s="326">
        <v>807.75888888888881</v>
      </c>
      <c r="W200" s="326">
        <v>807.75888888888881</v>
      </c>
      <c r="X200" s="326">
        <v>327.74888888888887</v>
      </c>
      <c r="Y200" s="326">
        <v>327.74888888888887</v>
      </c>
      <c r="Z200" s="326">
        <v>0</v>
      </c>
      <c r="AA200" s="656">
        <v>0</v>
      </c>
      <c r="AB200" s="765"/>
      <c r="AC200" s="765"/>
      <c r="AD200" s="765"/>
      <c r="AE200" s="630"/>
      <c r="AF200" s="780"/>
    </row>
    <row r="201" spans="1:38" s="73" customFormat="1">
      <c r="A201" s="244" t="s">
        <v>97</v>
      </c>
      <c r="B201" s="245"/>
      <c r="C201" s="246">
        <v>0</v>
      </c>
      <c r="D201" s="247">
        <v>0</v>
      </c>
      <c r="E201" s="247">
        <v>0</v>
      </c>
      <c r="F201" s="247">
        <v>0</v>
      </c>
      <c r="G201" s="247">
        <v>0</v>
      </c>
      <c r="H201" s="247">
        <v>0</v>
      </c>
      <c r="I201" s="246">
        <v>0</v>
      </c>
      <c r="J201" s="246">
        <v>14589.29888888889</v>
      </c>
      <c r="K201" s="247">
        <v>23129.855555555554</v>
      </c>
      <c r="L201" s="247">
        <v>6531.0811111111116</v>
      </c>
      <c r="M201" s="247">
        <v>1020.5222222222222</v>
      </c>
      <c r="N201" s="246">
        <v>45270.757777777784</v>
      </c>
      <c r="O201" s="328">
        <v>4426.0055555555555</v>
      </c>
      <c r="P201" s="247">
        <v>4426.0055555555555</v>
      </c>
      <c r="Q201" s="246">
        <v>4304.7606777777773</v>
      </c>
      <c r="R201" s="246">
        <v>31591.134299999998</v>
      </c>
      <c r="S201" s="246">
        <v>35895.894977777774</v>
      </c>
      <c r="T201" s="326">
        <v>3439.1888888888889</v>
      </c>
      <c r="U201" s="326">
        <v>3439.1888888888889</v>
      </c>
      <c r="V201" s="326">
        <v>655.28222222222223</v>
      </c>
      <c r="W201" s="326">
        <v>655.28222222222223</v>
      </c>
      <c r="X201" s="326">
        <v>331.53444444444443</v>
      </c>
      <c r="Y201" s="326">
        <v>331.53444444444443</v>
      </c>
      <c r="Z201" s="326">
        <v>0</v>
      </c>
      <c r="AA201" s="656">
        <v>0</v>
      </c>
      <c r="AB201" s="765"/>
      <c r="AC201" s="765"/>
      <c r="AD201" s="765"/>
      <c r="AE201" s="630"/>
      <c r="AF201" s="780"/>
    </row>
    <row r="202" spans="1:38" s="73" customFormat="1">
      <c r="A202" s="244" t="s">
        <v>117</v>
      </c>
      <c r="B202" s="248"/>
      <c r="C202" s="256">
        <v>0</v>
      </c>
      <c r="D202" s="257">
        <v>0</v>
      </c>
      <c r="E202" s="257">
        <v>0</v>
      </c>
      <c r="F202" s="257">
        <v>0</v>
      </c>
      <c r="G202" s="257">
        <v>0</v>
      </c>
      <c r="H202" s="257">
        <v>0</v>
      </c>
      <c r="I202" s="256">
        <v>0</v>
      </c>
      <c r="J202" s="256">
        <v>-0.25655136496843911</v>
      </c>
      <c r="K202" s="257">
        <v>-0.14166383260439352</v>
      </c>
      <c r="L202" s="257">
        <v>-0.14576700026667652</v>
      </c>
      <c r="M202" s="257">
        <v>-4.9345595122885132E-2</v>
      </c>
      <c r="N202" s="256">
        <v>-0.18121515580485503</v>
      </c>
      <c r="O202" s="652">
        <v>-0.28333236180137861</v>
      </c>
      <c r="P202" s="257">
        <v>-0.28333236180137861</v>
      </c>
      <c r="Q202" s="256">
        <v>-8.8633238423755534E-2</v>
      </c>
      <c r="R202" s="256">
        <v>4.6088423375188814E-2</v>
      </c>
      <c r="S202" s="256">
        <v>2.7866872367865708E-2</v>
      </c>
      <c r="T202" s="327">
        <v>-0.31766261966040421</v>
      </c>
      <c r="U202" s="327">
        <v>-0.31766261966040421</v>
      </c>
      <c r="V202" s="327">
        <v>-0.18876507428646877</v>
      </c>
      <c r="W202" s="327">
        <v>-0.18876507428646877</v>
      </c>
      <c r="X202" s="327">
        <v>1.1550170523503784E-2</v>
      </c>
      <c r="Y202" s="327">
        <v>1.1550170523503784E-2</v>
      </c>
      <c r="Z202" s="327">
        <v>0</v>
      </c>
      <c r="AA202" s="655">
        <v>0</v>
      </c>
      <c r="AB202" s="766"/>
      <c r="AC202" s="766"/>
      <c r="AD202" s="766"/>
      <c r="AE202" s="630"/>
      <c r="AF202" s="780"/>
    </row>
    <row r="203" spans="1:38">
      <c r="A203" s="244" t="s">
        <v>105</v>
      </c>
      <c r="B203" s="245"/>
      <c r="C203" s="246">
        <v>216985.34583333335</v>
      </c>
      <c r="D203" s="247">
        <v>46010.909722222226</v>
      </c>
      <c r="E203" s="247">
        <v>86625.541666666672</v>
      </c>
      <c r="F203" s="247">
        <v>24098.416666666672</v>
      </c>
      <c r="G203" s="247">
        <v>10376.291666666666</v>
      </c>
      <c r="H203" s="247">
        <v>661.04166666666663</v>
      </c>
      <c r="I203" s="246">
        <v>384757.54722222226</v>
      </c>
      <c r="J203" s="246">
        <v>0</v>
      </c>
      <c r="K203" s="247">
        <v>0</v>
      </c>
      <c r="L203" s="247">
        <v>0</v>
      </c>
      <c r="M203" s="247">
        <v>0</v>
      </c>
      <c r="N203" s="246">
        <v>0</v>
      </c>
      <c r="O203" s="328">
        <v>0</v>
      </c>
      <c r="P203" s="247">
        <v>0</v>
      </c>
      <c r="Q203" s="246">
        <v>0</v>
      </c>
      <c r="R203" s="246">
        <v>0</v>
      </c>
      <c r="S203" s="246">
        <v>0</v>
      </c>
      <c r="T203" s="326">
        <v>0</v>
      </c>
      <c r="U203" s="326">
        <v>0</v>
      </c>
      <c r="V203" s="326">
        <v>0</v>
      </c>
      <c r="W203" s="326">
        <v>0</v>
      </c>
      <c r="X203" s="326">
        <v>0</v>
      </c>
      <c r="Y203" s="326">
        <v>0</v>
      </c>
      <c r="Z203" s="326">
        <v>1221.5416666666667</v>
      </c>
      <c r="AA203" s="656">
        <v>1221.5416666666667</v>
      </c>
      <c r="AB203" s="765"/>
      <c r="AC203" s="765"/>
      <c r="AD203" s="765"/>
      <c r="AE203" s="630"/>
      <c r="AF203" s="780"/>
    </row>
    <row r="204" spans="1:38" s="73" customFormat="1">
      <c r="A204" s="244" t="s">
        <v>107</v>
      </c>
      <c r="B204" s="245"/>
      <c r="C204" s="246">
        <v>221903.74999999997</v>
      </c>
      <c r="D204" s="247">
        <v>46304.687499999993</v>
      </c>
      <c r="E204" s="247">
        <v>86180.875</v>
      </c>
      <c r="F204" s="247">
        <v>24078.104166666664</v>
      </c>
      <c r="G204" s="247">
        <v>10240.333333333334</v>
      </c>
      <c r="H204" s="247">
        <v>720.5</v>
      </c>
      <c r="I204" s="246">
        <v>389428.24999999994</v>
      </c>
      <c r="J204" s="246">
        <v>2.25</v>
      </c>
      <c r="K204" s="247">
        <v>0</v>
      </c>
      <c r="L204" s="247">
        <v>0</v>
      </c>
      <c r="M204" s="247">
        <v>0</v>
      </c>
      <c r="N204" s="246">
        <v>2.25</v>
      </c>
      <c r="O204" s="328">
        <v>0</v>
      </c>
      <c r="P204" s="247">
        <v>0</v>
      </c>
      <c r="Q204" s="246">
        <v>0</v>
      </c>
      <c r="R204" s="246">
        <v>0</v>
      </c>
      <c r="S204" s="246">
        <v>0</v>
      </c>
      <c r="T204" s="326">
        <v>0</v>
      </c>
      <c r="U204" s="326">
        <v>0</v>
      </c>
      <c r="V204" s="326">
        <v>0</v>
      </c>
      <c r="W204" s="326">
        <v>0</v>
      </c>
      <c r="X204" s="326">
        <v>0</v>
      </c>
      <c r="Y204" s="326">
        <v>0</v>
      </c>
      <c r="Z204" s="326">
        <v>1259.125</v>
      </c>
      <c r="AA204" s="656">
        <v>1259.125</v>
      </c>
      <c r="AB204" s="765"/>
      <c r="AC204" s="765"/>
      <c r="AD204" s="765"/>
      <c r="AE204" s="630"/>
      <c r="AF204" s="780"/>
    </row>
    <row r="205" spans="1:38" s="73" customFormat="1">
      <c r="A205" s="244" t="s">
        <v>109</v>
      </c>
      <c r="B205" s="248"/>
      <c r="C205" s="256">
        <v>2.2666987707291881E-2</v>
      </c>
      <c r="D205" s="257">
        <v>6.3849591227686676E-3</v>
      </c>
      <c r="E205" s="257">
        <v>-5.1332050352736703E-3</v>
      </c>
      <c r="F205" s="257">
        <v>-8.4289770074827625E-4</v>
      </c>
      <c r="G205" s="257">
        <v>-1.3102786400086794E-2</v>
      </c>
      <c r="H205" s="257">
        <v>8.9946422943586554E-2</v>
      </c>
      <c r="I205" s="256">
        <v>1.2139340245560019E-2</v>
      </c>
      <c r="J205" s="256">
        <v>0</v>
      </c>
      <c r="K205" s="257">
        <v>0</v>
      </c>
      <c r="L205" s="257">
        <v>0</v>
      </c>
      <c r="M205" s="257">
        <v>0</v>
      </c>
      <c r="N205" s="256">
        <v>0</v>
      </c>
      <c r="O205" s="652">
        <v>0</v>
      </c>
      <c r="P205" s="257">
        <v>0</v>
      </c>
      <c r="Q205" s="256">
        <v>0</v>
      </c>
      <c r="R205" s="256">
        <v>0</v>
      </c>
      <c r="S205" s="256">
        <v>0</v>
      </c>
      <c r="T205" s="327">
        <v>0</v>
      </c>
      <c r="U205" s="327">
        <v>0</v>
      </c>
      <c r="V205" s="327">
        <v>0</v>
      </c>
      <c r="W205" s="327">
        <v>0</v>
      </c>
      <c r="X205" s="327">
        <v>0</v>
      </c>
      <c r="Y205" s="327">
        <v>0</v>
      </c>
      <c r="Z205" s="327">
        <v>3.0767131698331961E-2</v>
      </c>
      <c r="AA205" s="655">
        <v>3.0767131698331961E-2</v>
      </c>
      <c r="AB205" s="766"/>
      <c r="AC205" s="766"/>
      <c r="AD205" s="766"/>
      <c r="AE205" s="630"/>
      <c r="AF205" s="780"/>
    </row>
    <row r="206" spans="1:38">
      <c r="A206" s="244" t="s">
        <v>10</v>
      </c>
      <c r="B206" s="245"/>
      <c r="C206" s="246">
        <v>1055527.5125000002</v>
      </c>
      <c r="D206" s="247">
        <v>239416.1486111111</v>
      </c>
      <c r="E206" s="247">
        <v>624995.64166666672</v>
      </c>
      <c r="F206" s="247">
        <v>209164.50666666665</v>
      </c>
      <c r="G206" s="247">
        <v>123097.44166666668</v>
      </c>
      <c r="H206" s="247">
        <v>66933.131666666668</v>
      </c>
      <c r="I206" s="246">
        <v>2319134.382777778</v>
      </c>
      <c r="J206" s="246">
        <v>213946.88222222219</v>
      </c>
      <c r="K206" s="247">
        <v>1055940.8188888889</v>
      </c>
      <c r="L206" s="247">
        <v>469481.4966666667</v>
      </c>
      <c r="M206" s="247">
        <v>147992.47611111111</v>
      </c>
      <c r="N206" s="246">
        <v>1887361.6738888889</v>
      </c>
      <c r="O206" s="328">
        <v>213350.64666666667</v>
      </c>
      <c r="P206" s="247">
        <v>213350.64666666667</v>
      </c>
      <c r="Q206" s="246">
        <v>133847.69097077774</v>
      </c>
      <c r="R206" s="246">
        <v>32843.796344444447</v>
      </c>
      <c r="S206" s="246">
        <v>166691.48731522221</v>
      </c>
      <c r="T206" s="326">
        <v>142738.5388888889</v>
      </c>
      <c r="U206" s="326">
        <v>142738.5388888889</v>
      </c>
      <c r="V206" s="326">
        <v>60693.558888888889</v>
      </c>
      <c r="W206" s="326">
        <v>60693.558888888889</v>
      </c>
      <c r="X206" s="326">
        <v>12629.448888888888</v>
      </c>
      <c r="Y206" s="326">
        <v>12629.448888888888</v>
      </c>
      <c r="Z206" s="326">
        <v>4747.2416666666668</v>
      </c>
      <c r="AA206" s="656">
        <v>4747.2416666666668</v>
      </c>
      <c r="AB206" s="765"/>
      <c r="AC206" s="765"/>
      <c r="AD206" s="765"/>
      <c r="AE206" s="630"/>
      <c r="AF206" s="780"/>
      <c r="AL206" s="73"/>
    </row>
    <row r="207" spans="1:38" s="73" customFormat="1">
      <c r="A207" s="244" t="s">
        <v>111</v>
      </c>
      <c r="B207" s="245"/>
      <c r="C207" s="246">
        <v>1079681.3533333333</v>
      </c>
      <c r="D207" s="247">
        <v>245131.78750000001</v>
      </c>
      <c r="E207" s="247">
        <v>633325.7416666667</v>
      </c>
      <c r="F207" s="247">
        <v>211969.08416666664</v>
      </c>
      <c r="G207" s="247">
        <v>123547.55</v>
      </c>
      <c r="H207" s="247">
        <v>68811.39</v>
      </c>
      <c r="I207" s="246">
        <v>2362466.9066666663</v>
      </c>
      <c r="J207" s="246">
        <v>212773.71555555554</v>
      </c>
      <c r="K207" s="247">
        <v>1071678.331888889</v>
      </c>
      <c r="L207" s="247">
        <v>462570.60177777783</v>
      </c>
      <c r="M207" s="247">
        <v>146636.47988888886</v>
      </c>
      <c r="N207" s="246">
        <v>1893659.1291111112</v>
      </c>
      <c r="O207" s="328">
        <v>217352.83888888889</v>
      </c>
      <c r="P207" s="247">
        <v>217352.83888888889</v>
      </c>
      <c r="Q207" s="246">
        <v>126105.67734444444</v>
      </c>
      <c r="R207" s="246">
        <v>34059.634299999991</v>
      </c>
      <c r="S207" s="246">
        <v>160165.31164444442</v>
      </c>
      <c r="T207" s="326">
        <v>146191.85555555555</v>
      </c>
      <c r="U207" s="326">
        <v>146191.85555555555</v>
      </c>
      <c r="V207" s="326">
        <v>60917.515555555554</v>
      </c>
      <c r="W207" s="326">
        <v>60917.515555555554</v>
      </c>
      <c r="X207" s="326">
        <v>13122.101111111111</v>
      </c>
      <c r="Y207" s="326">
        <v>13122.101111111111</v>
      </c>
      <c r="Z207" s="326">
        <v>5148.8583333333336</v>
      </c>
      <c r="AA207" s="656">
        <v>5148.8583333333336</v>
      </c>
      <c r="AB207" s="765"/>
      <c r="AC207" s="765"/>
      <c r="AD207" s="765"/>
      <c r="AE207" s="630"/>
      <c r="AF207" s="780"/>
      <c r="AK207" s="214"/>
    </row>
    <row r="208" spans="1:38">
      <c r="A208" s="249" t="s">
        <v>113</v>
      </c>
      <c r="B208" s="325"/>
      <c r="C208" s="657">
        <v>2.2883193992854909E-2</v>
      </c>
      <c r="D208" s="659">
        <v>2.387323880217012E-2</v>
      </c>
      <c r="E208" s="659">
        <v>1.3328252942350478E-2</v>
      </c>
      <c r="F208" s="659">
        <v>1.3408477110648159E-2</v>
      </c>
      <c r="G208" s="659">
        <v>3.656520616831038E-3</v>
      </c>
      <c r="H208" s="659">
        <v>2.8061713034543943E-2</v>
      </c>
      <c r="I208" s="657">
        <v>1.8684783516937292E-2</v>
      </c>
      <c r="J208" s="657">
        <v>-5.483448295582471E-3</v>
      </c>
      <c r="K208" s="659">
        <v>1.490378316519695E-2</v>
      </c>
      <c r="L208" s="659">
        <v>-1.4720271060641981E-2</v>
      </c>
      <c r="M208" s="659">
        <v>-9.1626024366548622E-3</v>
      </c>
      <c r="N208" s="657">
        <v>3.3366446449276015E-3</v>
      </c>
      <c r="O208" s="660">
        <v>1.875875365156562E-2</v>
      </c>
      <c r="P208" s="659">
        <v>1.875875365156562E-2</v>
      </c>
      <c r="Q208" s="657">
        <v>-5.7841966269135278E-2</v>
      </c>
      <c r="R208" s="657">
        <v>3.701880083546466E-2</v>
      </c>
      <c r="S208" s="657">
        <v>-3.9151223472116851E-2</v>
      </c>
      <c r="T208" s="661">
        <v>2.4193302618536649E-2</v>
      </c>
      <c r="U208" s="661">
        <v>2.4193302618536649E-2</v>
      </c>
      <c r="V208" s="661">
        <v>3.689957728078863E-3</v>
      </c>
      <c r="W208" s="661">
        <v>3.689957728078863E-3</v>
      </c>
      <c r="X208" s="661">
        <v>3.9008212199635198E-2</v>
      </c>
      <c r="Y208" s="661">
        <v>3.9008212199635052E-2</v>
      </c>
      <c r="Z208" s="661">
        <v>8.4600004564053879E-2</v>
      </c>
      <c r="AA208" s="662">
        <v>8.4600004564053879E-2</v>
      </c>
      <c r="AB208" s="766"/>
      <c r="AC208" s="766"/>
      <c r="AD208" s="766"/>
      <c r="AE208" s="630"/>
    </row>
    <row r="209" spans="1:1">
      <c r="A209" s="214"/>
    </row>
    <row r="210" spans="1:1">
      <c r="A210" s="214"/>
    </row>
    <row r="211" spans="1:1">
      <c r="A211" s="214"/>
    </row>
    <row r="212" spans="1:1">
      <c r="A212" s="214"/>
    </row>
    <row r="213" spans="1:1">
      <c r="A213" s="214"/>
    </row>
    <row r="214" spans="1:1">
      <c r="A214" s="214"/>
    </row>
    <row r="215" spans="1:1">
      <c r="A215" s="214"/>
    </row>
    <row r="216" spans="1:1">
      <c r="A216" s="214"/>
    </row>
    <row r="217" spans="1:1">
      <c r="A217" s="214"/>
    </row>
    <row r="218" spans="1:1">
      <c r="A218" s="214"/>
    </row>
    <row r="219" spans="1:1">
      <c r="A219" s="214"/>
    </row>
    <row r="220" spans="1:1">
      <c r="A220" s="214"/>
    </row>
  </sheetData>
  <phoneticPr fontId="0" type="noConversion"/>
  <pageMargins left="0.5" right="0.5" top="1" bottom="1" header="0.5" footer="0.5"/>
  <pageSetup scale="95" pageOrder="overThenDown" orientation="landscape" r:id="rId2"/>
  <headerFooter alignWithMargins="0">
    <oddHeader>&amp;L&amp;"Arial,Bold"&amp;10SREB-State Data Exchange&amp;C&amp;"Arial,Bold"&amp;10Preliminary Tables&amp;R&amp;"Arial,Bold"&amp;10Part 4: FTE Enrollment</oddHeader>
    <oddFooter>&amp;L&amp;"Arial,Bold"&amp;10For Agency Review Only&amp;R&amp;"Arial,Bold"&amp;10October 2009</oddFooter>
  </headerFooter>
  <rowBreaks count="15" manualBreakCount="15">
    <brk id="16" max="16383" man="1"/>
    <brk id="28" max="16383" man="1"/>
    <brk id="40" max="16383" man="1"/>
    <brk id="52" max="16383" man="1"/>
    <brk id="64" max="16383" man="1"/>
    <brk id="76" max="16383" man="1"/>
    <brk id="88" max="16383" man="1"/>
    <brk id="100" max="16383" man="1"/>
    <brk id="112" max="16383" man="1"/>
    <brk id="124" max="16383" man="1"/>
    <brk id="136" max="16383" man="1"/>
    <brk id="148" max="16383" man="1"/>
    <brk id="160" max="16383" man="1"/>
    <brk id="172" max="16383" man="1"/>
    <brk id="184"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33"/>
  </sheetPr>
  <dimension ref="A1:Y141"/>
  <sheetViews>
    <sheetView workbookViewId="0">
      <selection sqref="A1:XFD1048576"/>
    </sheetView>
  </sheetViews>
  <sheetFormatPr defaultRowHeight="12.75"/>
  <cols>
    <col min="1" max="1" width="5" style="181" customWidth="1"/>
    <col min="2" max="2" width="33.33203125" style="181" customWidth="1"/>
    <col min="3" max="8" width="13.6640625" style="215" customWidth="1"/>
    <col min="9" max="9" width="16.1640625" style="215" customWidth="1"/>
    <col min="10" max="13" width="12.33203125" style="215" customWidth="1"/>
    <col min="14" max="14" width="15.6640625" style="215" customWidth="1"/>
    <col min="15" max="16" width="12.5" style="215" customWidth="1"/>
    <col min="17" max="17" width="15.83203125" style="215" customWidth="1"/>
    <col min="18" max="18" width="10.6640625" style="181" customWidth="1"/>
    <col min="19" max="19" width="14.33203125" style="181" customWidth="1"/>
    <col min="20" max="23" width="10.6640625" style="181" bestFit="1" customWidth="1"/>
    <col min="24" max="24" width="9.5" style="181" customWidth="1"/>
    <col min="25" max="25" width="10.1640625" style="181" customWidth="1"/>
    <col min="26" max="16384" width="9.33203125" style="181"/>
  </cols>
  <sheetData>
    <row r="1" spans="1:25">
      <c r="E1" s="686" t="s">
        <v>217</v>
      </c>
      <c r="L1" s="687"/>
      <c r="M1" s="4"/>
    </row>
    <row r="3" spans="1:25" s="1" customFormat="1">
      <c r="A3" s="667"/>
      <c r="B3" s="668"/>
      <c r="C3" s="688" t="s">
        <v>53</v>
      </c>
      <c r="D3" s="689" t="s">
        <v>120</v>
      </c>
      <c r="E3" s="689"/>
      <c r="F3" s="689"/>
      <c r="G3" s="689"/>
      <c r="H3" s="689"/>
      <c r="I3" s="689"/>
      <c r="J3" s="689"/>
      <c r="K3" s="689"/>
      <c r="L3" s="689"/>
      <c r="M3" s="689"/>
      <c r="N3" s="689"/>
      <c r="O3" s="689"/>
      <c r="P3" s="689"/>
      <c r="Q3" s="689"/>
      <c r="R3" s="670"/>
      <c r="S3" s="670"/>
      <c r="T3" s="670"/>
      <c r="U3" s="670"/>
      <c r="V3" s="670"/>
      <c r="W3" s="671"/>
      <c r="X3"/>
      <c r="Y3"/>
    </row>
    <row r="4" spans="1:25" s="1" customFormat="1">
      <c r="A4" s="183"/>
      <c r="B4" s="184"/>
      <c r="C4" s="688" t="s">
        <v>77</v>
      </c>
      <c r="D4" s="689"/>
      <c r="E4" s="689"/>
      <c r="F4" s="689"/>
      <c r="G4" s="689"/>
      <c r="H4" s="689"/>
      <c r="I4" s="688" t="s">
        <v>25</v>
      </c>
      <c r="J4" s="688" t="s">
        <v>95</v>
      </c>
      <c r="K4" s="689"/>
      <c r="L4" s="689"/>
      <c r="M4" s="689"/>
      <c r="N4" s="688" t="s">
        <v>26</v>
      </c>
      <c r="O4" s="688">
        <v>11</v>
      </c>
      <c r="P4" s="689" t="s">
        <v>1012</v>
      </c>
      <c r="Q4" s="688" t="s">
        <v>34</v>
      </c>
      <c r="R4" s="672"/>
      <c r="S4" s="672" t="s">
        <v>27</v>
      </c>
      <c r="T4" s="672" t="s">
        <v>218</v>
      </c>
      <c r="U4" s="672" t="s">
        <v>220</v>
      </c>
      <c r="V4" s="672" t="s">
        <v>219</v>
      </c>
      <c r="W4" s="673" t="s">
        <v>221</v>
      </c>
      <c r="X4" t="s">
        <v>252</v>
      </c>
      <c r="Y4" t="s">
        <v>254</v>
      </c>
    </row>
    <row r="5" spans="1:25" s="1" customFormat="1">
      <c r="A5" s="667" t="s">
        <v>121</v>
      </c>
      <c r="B5" s="667" t="s">
        <v>69</v>
      </c>
      <c r="C5" s="688">
        <v>1</v>
      </c>
      <c r="D5" s="690">
        <v>2</v>
      </c>
      <c r="E5" s="690">
        <v>3</v>
      </c>
      <c r="F5" s="690">
        <v>4</v>
      </c>
      <c r="G5" s="690">
        <v>5</v>
      </c>
      <c r="H5" s="690">
        <v>6</v>
      </c>
      <c r="I5" s="691"/>
      <c r="J5" s="688">
        <v>7</v>
      </c>
      <c r="K5" s="690">
        <v>8</v>
      </c>
      <c r="L5" s="690">
        <v>9</v>
      </c>
      <c r="M5" s="690">
        <v>10</v>
      </c>
      <c r="N5" s="691"/>
      <c r="O5" s="688">
        <v>11</v>
      </c>
      <c r="P5" s="690"/>
      <c r="Q5" s="691">
        <v>12</v>
      </c>
      <c r="R5" s="672">
        <v>13</v>
      </c>
      <c r="S5" s="674"/>
      <c r="T5" s="672" t="s">
        <v>218</v>
      </c>
      <c r="U5" s="674"/>
      <c r="V5" s="672" t="s">
        <v>219</v>
      </c>
      <c r="W5" s="675"/>
      <c r="X5" t="s">
        <v>252</v>
      </c>
      <c r="Y5"/>
    </row>
    <row r="6" spans="1:25">
      <c r="A6" s="669" t="s">
        <v>28</v>
      </c>
      <c r="B6" s="667" t="s">
        <v>11</v>
      </c>
      <c r="C6" s="692">
        <v>1546961</v>
      </c>
      <c r="D6" s="693">
        <v>161061</v>
      </c>
      <c r="E6" s="693">
        <v>961969</v>
      </c>
      <c r="F6" s="693">
        <v>440036</v>
      </c>
      <c r="G6" s="693">
        <v>124327</v>
      </c>
      <c r="H6" s="693">
        <v>89190</v>
      </c>
      <c r="I6" s="692">
        <v>3323544</v>
      </c>
      <c r="J6" s="692">
        <v>0</v>
      </c>
      <c r="K6" s="693">
        <v>816617</v>
      </c>
      <c r="L6" s="693">
        <v>1204201</v>
      </c>
      <c r="M6" s="693">
        <v>292760</v>
      </c>
      <c r="N6" s="692">
        <v>2313578</v>
      </c>
      <c r="O6" s="692">
        <v>0</v>
      </c>
      <c r="P6" s="693">
        <v>0</v>
      </c>
      <c r="Q6" s="692">
        <v>49717</v>
      </c>
      <c r="R6" s="676">
        <v>79335</v>
      </c>
      <c r="S6" s="676">
        <v>129052</v>
      </c>
      <c r="T6" s="676">
        <v>0</v>
      </c>
      <c r="U6" s="676">
        <v>0</v>
      </c>
      <c r="V6" s="676">
        <v>0</v>
      </c>
      <c r="W6" s="677">
        <v>0</v>
      </c>
      <c r="X6">
        <v>0</v>
      </c>
      <c r="Y6">
        <v>0</v>
      </c>
    </row>
    <row r="7" spans="1:25" s="1" customFormat="1">
      <c r="A7" s="182"/>
      <c r="B7" s="31" t="s">
        <v>15</v>
      </c>
      <c r="C7" s="694">
        <v>650</v>
      </c>
      <c r="D7" s="107">
        <v>388.5</v>
      </c>
      <c r="E7" s="107">
        <v>2982</v>
      </c>
      <c r="F7" s="107">
        <v>2721</v>
      </c>
      <c r="G7" s="107">
        <v>156</v>
      </c>
      <c r="H7" s="107">
        <v>0</v>
      </c>
      <c r="I7" s="694">
        <v>6897.5</v>
      </c>
      <c r="J7" s="694">
        <v>0</v>
      </c>
      <c r="K7" s="107">
        <v>21823</v>
      </c>
      <c r="L7" s="107">
        <v>23065</v>
      </c>
      <c r="M7" s="107">
        <v>8390</v>
      </c>
      <c r="N7" s="694">
        <v>53278</v>
      </c>
      <c r="O7" s="694">
        <v>0</v>
      </c>
      <c r="P7" s="107">
        <v>0</v>
      </c>
      <c r="Q7" s="694">
        <v>39</v>
      </c>
      <c r="R7" s="678">
        <v>1254</v>
      </c>
      <c r="S7" s="678">
        <v>1293</v>
      </c>
      <c r="T7" s="678">
        <v>0</v>
      </c>
      <c r="U7" s="678">
        <v>0</v>
      </c>
      <c r="V7" s="678">
        <v>0</v>
      </c>
      <c r="W7" s="679">
        <v>0</v>
      </c>
      <c r="X7">
        <v>0</v>
      </c>
      <c r="Y7">
        <v>0</v>
      </c>
    </row>
    <row r="8" spans="1:25">
      <c r="A8" s="182"/>
      <c r="B8" s="217" t="s">
        <v>17</v>
      </c>
      <c r="C8" s="695">
        <v>4.2017865996621764E-4</v>
      </c>
      <c r="D8" s="697">
        <v>2.4121295658166781E-3</v>
      </c>
      <c r="E8" s="697">
        <v>3.0998919923615003E-3</v>
      </c>
      <c r="F8" s="697">
        <v>6.1835849794107754E-3</v>
      </c>
      <c r="G8" s="697">
        <v>1.2547556041728667E-3</v>
      </c>
      <c r="H8" s="697">
        <v>0</v>
      </c>
      <c r="I8" s="695">
        <v>2.075344872822505E-3</v>
      </c>
      <c r="J8" s="695">
        <v>0</v>
      </c>
      <c r="K8" s="697">
        <v>2.6723666051527217E-2</v>
      </c>
      <c r="L8" s="697">
        <v>1.9153779144843758E-2</v>
      </c>
      <c r="M8" s="697">
        <v>2.8658286651181857E-2</v>
      </c>
      <c r="N8" s="695">
        <v>2.3028400166322467E-2</v>
      </c>
      <c r="O8" s="695">
        <v>0</v>
      </c>
      <c r="P8" s="697">
        <v>0</v>
      </c>
      <c r="Q8" s="695">
        <v>7.8443993000382162E-4</v>
      </c>
      <c r="R8" s="680">
        <v>1.5806390622045755E-2</v>
      </c>
      <c r="S8" s="680">
        <v>1.0019217059789852E-2</v>
      </c>
      <c r="T8" s="680">
        <v>0</v>
      </c>
      <c r="U8" s="680">
        <v>0</v>
      </c>
      <c r="V8" s="680">
        <v>0</v>
      </c>
      <c r="W8" s="681">
        <v>0</v>
      </c>
      <c r="X8">
        <v>0</v>
      </c>
      <c r="Y8">
        <v>0</v>
      </c>
    </row>
    <row r="9" spans="1:25" s="1" customFormat="1">
      <c r="A9" s="182"/>
      <c r="B9" s="31" t="s">
        <v>12</v>
      </c>
      <c r="C9" s="694">
        <v>1588642</v>
      </c>
      <c r="D9" s="107">
        <v>155382</v>
      </c>
      <c r="E9" s="107">
        <v>1010120</v>
      </c>
      <c r="F9" s="107">
        <v>432241</v>
      </c>
      <c r="G9" s="107">
        <v>124756</v>
      </c>
      <c r="H9" s="107">
        <v>85702</v>
      </c>
      <c r="I9" s="694">
        <v>3396843</v>
      </c>
      <c r="J9" s="694">
        <v>0</v>
      </c>
      <c r="K9" s="107">
        <v>801324</v>
      </c>
      <c r="L9" s="107">
        <v>1150347</v>
      </c>
      <c r="M9" s="107">
        <v>283170</v>
      </c>
      <c r="N9" s="694">
        <v>2234841</v>
      </c>
      <c r="O9" s="694">
        <v>0</v>
      </c>
      <c r="P9" s="107">
        <v>0</v>
      </c>
      <c r="Q9" s="694">
        <v>49502</v>
      </c>
      <c r="R9" s="678">
        <v>74055</v>
      </c>
      <c r="S9" s="678">
        <v>123557</v>
      </c>
      <c r="T9" s="678">
        <v>0</v>
      </c>
      <c r="U9" s="678">
        <v>0</v>
      </c>
      <c r="V9" s="678">
        <v>0</v>
      </c>
      <c r="W9" s="679">
        <v>0</v>
      </c>
      <c r="X9">
        <v>0</v>
      </c>
      <c r="Y9">
        <v>0</v>
      </c>
    </row>
    <row r="10" spans="1:25">
      <c r="A10" s="182"/>
      <c r="B10" s="31" t="s">
        <v>16</v>
      </c>
      <c r="C10" s="694">
        <v>1767</v>
      </c>
      <c r="D10" s="107">
        <v>416</v>
      </c>
      <c r="E10" s="107">
        <v>2585</v>
      </c>
      <c r="F10" s="107">
        <v>2650</v>
      </c>
      <c r="G10" s="107">
        <v>158</v>
      </c>
      <c r="H10" s="107">
        <v>0</v>
      </c>
      <c r="I10" s="694">
        <v>7576</v>
      </c>
      <c r="J10" s="694">
        <v>0</v>
      </c>
      <c r="K10" s="107">
        <v>22803</v>
      </c>
      <c r="L10" s="107">
        <v>23672</v>
      </c>
      <c r="M10" s="107">
        <v>9053</v>
      </c>
      <c r="N10" s="694">
        <v>55528</v>
      </c>
      <c r="O10" s="694">
        <v>0</v>
      </c>
      <c r="P10" s="107">
        <v>0</v>
      </c>
      <c r="Q10" s="694">
        <v>93</v>
      </c>
      <c r="R10" s="678">
        <v>1566</v>
      </c>
      <c r="S10" s="678">
        <v>1659</v>
      </c>
      <c r="T10" s="678">
        <v>0</v>
      </c>
      <c r="U10" s="678">
        <v>0</v>
      </c>
      <c r="V10" s="678">
        <v>0</v>
      </c>
      <c r="W10" s="679">
        <v>0</v>
      </c>
      <c r="X10">
        <v>0</v>
      </c>
      <c r="Y10">
        <v>0</v>
      </c>
    </row>
    <row r="11" spans="1:25" s="1" customFormat="1">
      <c r="A11" s="182"/>
      <c r="B11" s="223" t="s">
        <v>19</v>
      </c>
      <c r="C11" s="695">
        <v>1.1122707318577754E-3</v>
      </c>
      <c r="D11" s="697">
        <v>2.6772727857795626E-3</v>
      </c>
      <c r="E11" s="697">
        <v>2.5591018888844888E-3</v>
      </c>
      <c r="F11" s="697">
        <v>6.1308390458100917E-3</v>
      </c>
      <c r="G11" s="697">
        <v>1.266472153643913E-3</v>
      </c>
      <c r="H11" s="697">
        <v>0</v>
      </c>
      <c r="I11" s="695">
        <v>2.2303061990206789E-3</v>
      </c>
      <c r="J11" s="695">
        <v>0</v>
      </c>
      <c r="K11" s="697">
        <v>2.8456654237237373E-2</v>
      </c>
      <c r="L11" s="697">
        <v>2.0578138596440899E-2</v>
      </c>
      <c r="M11" s="697">
        <v>3.1970194582759473E-2</v>
      </c>
      <c r="N11" s="695">
        <v>2.4846510333397319E-2</v>
      </c>
      <c r="O11" s="695">
        <v>0</v>
      </c>
      <c r="P11" s="697">
        <v>0</v>
      </c>
      <c r="Q11" s="695">
        <v>1.8787119712334855E-3</v>
      </c>
      <c r="R11" s="682">
        <v>2.1146445209641481E-2</v>
      </c>
      <c r="S11" s="682">
        <v>1.3427001303042321E-2</v>
      </c>
      <c r="T11" s="682">
        <v>0</v>
      </c>
      <c r="U11" s="682">
        <v>0</v>
      </c>
      <c r="V11" s="682">
        <v>0</v>
      </c>
      <c r="W11" s="683">
        <v>0</v>
      </c>
      <c r="X11">
        <v>0</v>
      </c>
      <c r="Y11">
        <v>0</v>
      </c>
    </row>
    <row r="12" spans="1:25">
      <c r="A12" s="185"/>
      <c r="B12" s="243" t="s">
        <v>982</v>
      </c>
      <c r="C12" s="696">
        <v>6.9209207189155776E-4</v>
      </c>
      <c r="D12" s="698">
        <v>2.6514321996288451E-4</v>
      </c>
      <c r="E12" s="698">
        <v>-5.4079010347701144E-4</v>
      </c>
      <c r="F12" s="698">
        <v>-5.2745933600683616E-5</v>
      </c>
      <c r="G12" s="698">
        <v>1.1716549471046294E-5</v>
      </c>
      <c r="H12" s="698">
        <v>0</v>
      </c>
      <c r="I12" s="696">
        <v>1.5496132619817384E-4</v>
      </c>
      <c r="J12" s="696">
        <v>0</v>
      </c>
      <c r="K12" s="698">
        <v>1.7329881857101569E-3</v>
      </c>
      <c r="L12" s="698">
        <v>1.4243594515971417E-3</v>
      </c>
      <c r="M12" s="698">
        <v>3.3119079315776165E-3</v>
      </c>
      <c r="N12" s="696">
        <v>1.8181101670748517E-3</v>
      </c>
      <c r="O12" s="696">
        <v>0</v>
      </c>
      <c r="P12" s="698">
        <v>0</v>
      </c>
      <c r="Q12" s="696">
        <v>1.0942720412296639E-3</v>
      </c>
      <c r="R12" s="684">
        <v>5.3400545875957259E-3</v>
      </c>
      <c r="S12" s="684">
        <v>3.407784243252469E-3</v>
      </c>
      <c r="T12" s="684">
        <v>0</v>
      </c>
      <c r="U12" s="684">
        <v>0</v>
      </c>
      <c r="V12" s="684">
        <v>0</v>
      </c>
      <c r="W12" s="685">
        <v>0</v>
      </c>
      <c r="X12">
        <v>0</v>
      </c>
      <c r="Y12">
        <v>0</v>
      </c>
    </row>
    <row r="13" spans="1:25" s="1" customFormat="1">
      <c r="A13" s="669" t="s">
        <v>168</v>
      </c>
      <c r="B13" s="667" t="s">
        <v>11</v>
      </c>
      <c r="C13" s="692">
        <v>473338</v>
      </c>
      <c r="D13" s="693">
        <v>0</v>
      </c>
      <c r="E13" s="693">
        <v>778618</v>
      </c>
      <c r="F13" s="693">
        <v>383965</v>
      </c>
      <c r="G13" s="693">
        <v>70593</v>
      </c>
      <c r="H13" s="693">
        <v>284252</v>
      </c>
      <c r="I13" s="692">
        <v>1990766</v>
      </c>
      <c r="J13" s="692">
        <v>0</v>
      </c>
      <c r="K13" s="693">
        <v>417183</v>
      </c>
      <c r="L13" s="693">
        <v>193056</v>
      </c>
      <c r="M13" s="693">
        <v>742428</v>
      </c>
      <c r="N13" s="692">
        <v>1352667</v>
      </c>
      <c r="O13" s="692">
        <v>0</v>
      </c>
      <c r="P13" s="693">
        <v>0</v>
      </c>
      <c r="Q13" s="692">
        <v>0</v>
      </c>
      <c r="R13" s="676">
        <v>0</v>
      </c>
      <c r="S13" s="676">
        <v>0</v>
      </c>
      <c r="T13" s="676">
        <v>0</v>
      </c>
      <c r="U13" s="676">
        <v>0</v>
      </c>
      <c r="V13" s="676">
        <v>0</v>
      </c>
      <c r="W13" s="677">
        <v>0</v>
      </c>
      <c r="X13">
        <v>0</v>
      </c>
      <c r="Y13">
        <v>0</v>
      </c>
    </row>
    <row r="14" spans="1:25" s="1" customFormat="1">
      <c r="A14" s="182"/>
      <c r="B14" s="31" t="s">
        <v>15</v>
      </c>
      <c r="C14" s="694">
        <v>75</v>
      </c>
      <c r="D14" s="107">
        <v>0</v>
      </c>
      <c r="E14" s="107">
        <v>19900</v>
      </c>
      <c r="F14" s="107">
        <v>6385</v>
      </c>
      <c r="G14" s="107">
        <v>3269</v>
      </c>
      <c r="H14" s="107">
        <v>8105</v>
      </c>
      <c r="I14" s="694">
        <v>37734</v>
      </c>
      <c r="J14" s="694">
        <v>0</v>
      </c>
      <c r="K14" s="107">
        <v>9290</v>
      </c>
      <c r="L14" s="107">
        <v>10393</v>
      </c>
      <c r="M14" s="107">
        <v>48679</v>
      </c>
      <c r="N14" s="694">
        <v>68362</v>
      </c>
      <c r="O14" s="694">
        <v>0</v>
      </c>
      <c r="P14" s="107">
        <v>0</v>
      </c>
      <c r="Q14" s="694">
        <v>0</v>
      </c>
      <c r="R14" s="678">
        <v>0</v>
      </c>
      <c r="S14" s="678">
        <v>0</v>
      </c>
      <c r="T14" s="678">
        <v>0</v>
      </c>
      <c r="U14" s="678">
        <v>0</v>
      </c>
      <c r="V14" s="678">
        <v>0</v>
      </c>
      <c r="W14" s="679">
        <v>0</v>
      </c>
      <c r="X14">
        <v>0</v>
      </c>
      <c r="Y14">
        <v>0</v>
      </c>
    </row>
    <row r="15" spans="1:25">
      <c r="A15" s="182"/>
      <c r="B15" s="217" t="s">
        <v>17</v>
      </c>
      <c r="C15" s="695">
        <v>1.5844914205071216E-4</v>
      </c>
      <c r="D15" s="697">
        <v>0</v>
      </c>
      <c r="E15" s="697">
        <v>2.5558104230829496E-2</v>
      </c>
      <c r="F15" s="697">
        <v>1.6629119841652235E-2</v>
      </c>
      <c r="G15" s="697">
        <v>4.6307707563072828E-2</v>
      </c>
      <c r="H15" s="697">
        <v>2.8513431743664074E-2</v>
      </c>
      <c r="I15" s="695">
        <v>1.8954512986458477E-2</v>
      </c>
      <c r="J15" s="695">
        <v>0</v>
      </c>
      <c r="K15" s="697">
        <v>2.2268404992533252E-2</v>
      </c>
      <c r="L15" s="697">
        <v>5.3834120669650258E-2</v>
      </c>
      <c r="M15" s="697">
        <v>6.5567300802232678E-2</v>
      </c>
      <c r="N15" s="695">
        <v>5.0538676555279313E-2</v>
      </c>
      <c r="O15" s="695">
        <v>0</v>
      </c>
      <c r="P15" s="697">
        <v>0</v>
      </c>
      <c r="Q15" s="695">
        <v>0</v>
      </c>
      <c r="R15" s="680">
        <v>0</v>
      </c>
      <c r="S15" s="680">
        <v>0</v>
      </c>
      <c r="T15" s="680">
        <v>0</v>
      </c>
      <c r="U15" s="680">
        <v>0</v>
      </c>
      <c r="V15" s="680">
        <v>0</v>
      </c>
      <c r="W15" s="681">
        <v>0</v>
      </c>
      <c r="X15">
        <v>0</v>
      </c>
      <c r="Y15">
        <v>0</v>
      </c>
    </row>
    <row r="16" spans="1:25" s="1" customFormat="1">
      <c r="A16" s="182"/>
      <c r="B16" s="31" t="s">
        <v>12</v>
      </c>
      <c r="C16" s="694">
        <v>525893</v>
      </c>
      <c r="D16" s="107">
        <v>0</v>
      </c>
      <c r="E16" s="107">
        <v>785555</v>
      </c>
      <c r="F16" s="107">
        <v>399791</v>
      </c>
      <c r="G16" s="107">
        <v>72002</v>
      </c>
      <c r="H16" s="107">
        <v>280667</v>
      </c>
      <c r="I16" s="694">
        <v>2063908</v>
      </c>
      <c r="J16" s="694">
        <v>0</v>
      </c>
      <c r="K16" s="107">
        <v>435744</v>
      </c>
      <c r="L16" s="107">
        <v>192915</v>
      </c>
      <c r="M16" s="107">
        <v>727792</v>
      </c>
      <c r="N16" s="694">
        <v>1356451</v>
      </c>
      <c r="O16" s="694">
        <v>0</v>
      </c>
      <c r="P16" s="107">
        <v>0</v>
      </c>
      <c r="Q16" s="694">
        <v>0</v>
      </c>
      <c r="R16" s="678">
        <v>0</v>
      </c>
      <c r="S16" s="678">
        <v>0</v>
      </c>
      <c r="T16" s="678">
        <v>0</v>
      </c>
      <c r="U16" s="678">
        <v>0</v>
      </c>
      <c r="V16" s="678">
        <v>0</v>
      </c>
      <c r="W16" s="679">
        <v>0</v>
      </c>
      <c r="X16">
        <v>0</v>
      </c>
      <c r="Y16">
        <v>0</v>
      </c>
    </row>
    <row r="17" spans="1:25">
      <c r="A17" s="182"/>
      <c r="B17" s="31" t="s">
        <v>16</v>
      </c>
      <c r="C17" s="694">
        <v>98</v>
      </c>
      <c r="D17" s="107">
        <v>0</v>
      </c>
      <c r="E17" s="107">
        <v>19925</v>
      </c>
      <c r="F17" s="107">
        <v>6768</v>
      </c>
      <c r="G17" s="107">
        <v>3921</v>
      </c>
      <c r="H17" s="107">
        <v>8574</v>
      </c>
      <c r="I17" s="694">
        <v>39286</v>
      </c>
      <c r="J17" s="694">
        <v>0</v>
      </c>
      <c r="K17" s="107">
        <v>8798</v>
      </c>
      <c r="L17" s="107">
        <v>12673</v>
      </c>
      <c r="M17" s="107">
        <v>55080</v>
      </c>
      <c r="N17" s="694">
        <v>76551</v>
      </c>
      <c r="O17" s="694">
        <v>0</v>
      </c>
      <c r="P17" s="107">
        <v>0</v>
      </c>
      <c r="Q17" s="694">
        <v>0</v>
      </c>
      <c r="R17" s="678">
        <v>0</v>
      </c>
      <c r="S17" s="678">
        <v>0</v>
      </c>
      <c r="T17" s="678">
        <v>0</v>
      </c>
      <c r="U17" s="678">
        <v>0</v>
      </c>
      <c r="V17" s="678">
        <v>0</v>
      </c>
      <c r="W17" s="679">
        <v>0</v>
      </c>
      <c r="X17">
        <v>0</v>
      </c>
      <c r="Y17">
        <v>0</v>
      </c>
    </row>
    <row r="18" spans="1:25" s="1" customFormat="1">
      <c r="A18" s="182"/>
      <c r="B18" s="223" t="s">
        <v>19</v>
      </c>
      <c r="C18" s="695">
        <v>1.8634969470976035E-4</v>
      </c>
      <c r="D18" s="697">
        <v>0</v>
      </c>
      <c r="E18" s="697">
        <v>2.5364232930857801E-2</v>
      </c>
      <c r="F18" s="697">
        <v>1.6928845321680579E-2</v>
      </c>
      <c r="G18" s="697">
        <v>5.4456820643871001E-2</v>
      </c>
      <c r="H18" s="697">
        <v>3.0548657305632654E-2</v>
      </c>
      <c r="I18" s="695">
        <v>1.903476317742845E-2</v>
      </c>
      <c r="J18" s="695">
        <v>0</v>
      </c>
      <c r="K18" s="697">
        <v>2.0190754204303444E-2</v>
      </c>
      <c r="L18" s="697">
        <v>6.5692144208589279E-2</v>
      </c>
      <c r="M18" s="697">
        <v>7.5680963791852615E-2</v>
      </c>
      <c r="N18" s="695">
        <v>5.6434769851620145E-2</v>
      </c>
      <c r="O18" s="695">
        <v>0</v>
      </c>
      <c r="P18" s="697">
        <v>0</v>
      </c>
      <c r="Q18" s="695">
        <v>0</v>
      </c>
      <c r="R18" s="682">
        <v>0</v>
      </c>
      <c r="S18" s="682">
        <v>0</v>
      </c>
      <c r="T18" s="682">
        <v>0</v>
      </c>
      <c r="U18" s="682">
        <v>0</v>
      </c>
      <c r="V18" s="682">
        <v>0</v>
      </c>
      <c r="W18" s="683">
        <v>0</v>
      </c>
      <c r="X18">
        <v>0</v>
      </c>
      <c r="Y18">
        <v>0</v>
      </c>
    </row>
    <row r="19" spans="1:25">
      <c r="A19" s="185"/>
      <c r="B19" s="243" t="s">
        <v>982</v>
      </c>
      <c r="C19" s="696">
        <v>2.7900552659048192E-5</v>
      </c>
      <c r="D19" s="698">
        <v>0</v>
      </c>
      <c r="E19" s="698">
        <v>-1.9387129997169503E-4</v>
      </c>
      <c r="F19" s="698">
        <v>2.9972548002834415E-4</v>
      </c>
      <c r="G19" s="698">
        <v>8.1491130807981732E-3</v>
      </c>
      <c r="H19" s="698">
        <v>2.0352255619685809E-3</v>
      </c>
      <c r="I19" s="696">
        <v>8.0250190969972934E-5</v>
      </c>
      <c r="J19" s="696">
        <v>0</v>
      </c>
      <c r="K19" s="698">
        <v>-2.0776507882298081E-3</v>
      </c>
      <c r="L19" s="698">
        <v>1.1858023538939021E-2</v>
      </c>
      <c r="M19" s="698">
        <v>1.0113662989619937E-2</v>
      </c>
      <c r="N19" s="696">
        <v>5.8960932963408319E-3</v>
      </c>
      <c r="O19" s="696">
        <v>0</v>
      </c>
      <c r="P19" s="698">
        <v>0</v>
      </c>
      <c r="Q19" s="696">
        <v>0</v>
      </c>
      <c r="R19" s="684">
        <v>0</v>
      </c>
      <c r="S19" s="684">
        <v>0</v>
      </c>
      <c r="T19" s="684">
        <v>0</v>
      </c>
      <c r="U19" s="684">
        <v>0</v>
      </c>
      <c r="V19" s="684">
        <v>0</v>
      </c>
      <c r="W19" s="685">
        <v>0</v>
      </c>
      <c r="X19">
        <v>0</v>
      </c>
      <c r="Y19">
        <v>0</v>
      </c>
    </row>
    <row r="20" spans="1:25" s="1" customFormat="1">
      <c r="A20" s="669" t="s">
        <v>8</v>
      </c>
      <c r="B20" s="667" t="s">
        <v>11</v>
      </c>
      <c r="C20" s="692">
        <v>519545</v>
      </c>
      <c r="D20" s="693">
        <v>0</v>
      </c>
      <c r="E20" s="693">
        <v>0</v>
      </c>
      <c r="F20" s="693">
        <v>99584</v>
      </c>
      <c r="G20" s="693">
        <v>0</v>
      </c>
      <c r="H20" s="693">
        <v>0</v>
      </c>
      <c r="I20" s="692">
        <v>619129</v>
      </c>
      <c r="J20" s="692">
        <v>0</v>
      </c>
      <c r="K20" s="693">
        <v>162690</v>
      </c>
      <c r="L20" s="693">
        <v>180809</v>
      </c>
      <c r="M20" s="693">
        <v>0</v>
      </c>
      <c r="N20" s="692">
        <v>343499</v>
      </c>
      <c r="O20" s="692">
        <v>0</v>
      </c>
      <c r="P20" s="693">
        <v>0</v>
      </c>
      <c r="Q20" s="692">
        <v>0</v>
      </c>
      <c r="R20" s="676">
        <v>0</v>
      </c>
      <c r="S20" s="676">
        <v>0</v>
      </c>
      <c r="T20" s="676">
        <v>0</v>
      </c>
      <c r="U20" s="676">
        <v>0</v>
      </c>
      <c r="V20" s="676">
        <v>0</v>
      </c>
      <c r="W20" s="677">
        <v>0</v>
      </c>
      <c r="X20">
        <v>0</v>
      </c>
      <c r="Y20">
        <v>0</v>
      </c>
    </row>
    <row r="21" spans="1:25">
      <c r="A21" s="182"/>
      <c r="B21" s="31" t="s">
        <v>15</v>
      </c>
      <c r="C21" s="694">
        <v>1917</v>
      </c>
      <c r="D21" s="107">
        <v>0</v>
      </c>
      <c r="E21" s="107">
        <v>0</v>
      </c>
      <c r="F21" s="107">
        <v>180</v>
      </c>
      <c r="G21" s="107">
        <v>0</v>
      </c>
      <c r="H21" s="107">
        <v>0</v>
      </c>
      <c r="I21" s="694">
        <v>2097</v>
      </c>
      <c r="J21" s="694">
        <v>0</v>
      </c>
      <c r="K21" s="107">
        <v>547</v>
      </c>
      <c r="L21" s="107">
        <v>467</v>
      </c>
      <c r="M21" s="107">
        <v>0</v>
      </c>
      <c r="N21" s="694">
        <v>1014</v>
      </c>
      <c r="O21" s="694">
        <v>0</v>
      </c>
      <c r="P21" s="107">
        <v>0</v>
      </c>
      <c r="Q21" s="694">
        <v>0</v>
      </c>
      <c r="R21" s="678">
        <v>0</v>
      </c>
      <c r="S21" s="678">
        <v>0</v>
      </c>
      <c r="T21" s="678">
        <v>0</v>
      </c>
      <c r="U21" s="678">
        <v>0</v>
      </c>
      <c r="V21" s="678">
        <v>0</v>
      </c>
      <c r="W21" s="679">
        <v>0</v>
      </c>
      <c r="X21">
        <v>0</v>
      </c>
      <c r="Y21">
        <v>0</v>
      </c>
    </row>
    <row r="22" spans="1:25" s="1" customFormat="1">
      <c r="A22" s="182"/>
      <c r="B22" s="217" t="s">
        <v>17</v>
      </c>
      <c r="C22" s="695">
        <v>3.6897670076701731E-3</v>
      </c>
      <c r="D22" s="697">
        <v>0</v>
      </c>
      <c r="E22" s="697">
        <v>0</v>
      </c>
      <c r="F22" s="697">
        <v>1.8075192802056556E-3</v>
      </c>
      <c r="G22" s="697">
        <v>0</v>
      </c>
      <c r="H22" s="697">
        <v>0</v>
      </c>
      <c r="I22" s="695">
        <v>3.3870162760910893E-3</v>
      </c>
      <c r="J22" s="695">
        <v>0</v>
      </c>
      <c r="K22" s="697">
        <v>3.3622226319995081E-3</v>
      </c>
      <c r="L22" s="697">
        <v>2.5828360313922428E-3</v>
      </c>
      <c r="M22" s="697">
        <v>0</v>
      </c>
      <c r="N22" s="695">
        <v>2.9519736593119632E-3</v>
      </c>
      <c r="O22" s="695">
        <v>0</v>
      </c>
      <c r="P22" s="697">
        <v>0</v>
      </c>
      <c r="Q22" s="695">
        <v>0</v>
      </c>
      <c r="R22" s="680">
        <v>0</v>
      </c>
      <c r="S22" s="680">
        <v>0</v>
      </c>
      <c r="T22" s="680">
        <v>0</v>
      </c>
      <c r="U22" s="680">
        <v>0</v>
      </c>
      <c r="V22" s="680">
        <v>0</v>
      </c>
      <c r="W22" s="681">
        <v>0</v>
      </c>
      <c r="X22">
        <v>0</v>
      </c>
      <c r="Y22">
        <v>0</v>
      </c>
    </row>
    <row r="23" spans="1:25">
      <c r="A23" s="182"/>
      <c r="B23" s="31" t="s">
        <v>12</v>
      </c>
      <c r="C23" s="694">
        <v>0</v>
      </c>
      <c r="D23" s="107">
        <v>0</v>
      </c>
      <c r="E23" s="107">
        <v>0</v>
      </c>
      <c r="F23" s="107">
        <v>0</v>
      </c>
      <c r="G23" s="107">
        <v>0</v>
      </c>
      <c r="H23" s="107">
        <v>0</v>
      </c>
      <c r="I23" s="694">
        <v>0</v>
      </c>
      <c r="J23" s="694">
        <v>0</v>
      </c>
      <c r="K23" s="107">
        <v>0</v>
      </c>
      <c r="L23" s="107">
        <v>0</v>
      </c>
      <c r="M23" s="107">
        <v>0</v>
      </c>
      <c r="N23" s="694">
        <v>0</v>
      </c>
      <c r="O23" s="694">
        <v>0</v>
      </c>
      <c r="P23" s="107">
        <v>0</v>
      </c>
      <c r="Q23" s="694">
        <v>0</v>
      </c>
      <c r="R23" s="678">
        <v>0</v>
      </c>
      <c r="S23" s="678">
        <v>0</v>
      </c>
      <c r="T23" s="678">
        <v>0</v>
      </c>
      <c r="U23" s="678">
        <v>0</v>
      </c>
      <c r="V23" s="678">
        <v>0</v>
      </c>
      <c r="W23" s="679">
        <v>0</v>
      </c>
      <c r="X23">
        <v>0</v>
      </c>
      <c r="Y23">
        <v>0</v>
      </c>
    </row>
    <row r="24" spans="1:25" s="1" customFormat="1">
      <c r="A24" s="182"/>
      <c r="B24" s="31" t="s">
        <v>16</v>
      </c>
      <c r="C24" s="694">
        <v>0</v>
      </c>
      <c r="D24" s="107">
        <v>0</v>
      </c>
      <c r="E24" s="107">
        <v>0</v>
      </c>
      <c r="F24" s="107">
        <v>0</v>
      </c>
      <c r="G24" s="107">
        <v>0</v>
      </c>
      <c r="H24" s="107">
        <v>0</v>
      </c>
      <c r="I24" s="694">
        <v>0</v>
      </c>
      <c r="J24" s="694">
        <v>0</v>
      </c>
      <c r="K24" s="107">
        <v>0</v>
      </c>
      <c r="L24" s="107">
        <v>0</v>
      </c>
      <c r="M24" s="107">
        <v>0</v>
      </c>
      <c r="N24" s="694">
        <v>0</v>
      </c>
      <c r="O24" s="694">
        <v>0</v>
      </c>
      <c r="P24" s="107">
        <v>0</v>
      </c>
      <c r="Q24" s="694">
        <v>0</v>
      </c>
      <c r="R24" s="678">
        <v>0</v>
      </c>
      <c r="S24" s="678">
        <v>0</v>
      </c>
      <c r="T24" s="678">
        <v>0</v>
      </c>
      <c r="U24" s="678">
        <v>0</v>
      </c>
      <c r="V24" s="678">
        <v>0</v>
      </c>
      <c r="W24" s="679">
        <v>0</v>
      </c>
      <c r="X24">
        <v>0</v>
      </c>
      <c r="Y24">
        <v>0</v>
      </c>
    </row>
    <row r="25" spans="1:25">
      <c r="A25" s="182"/>
      <c r="B25" s="223" t="s">
        <v>19</v>
      </c>
      <c r="C25" s="695">
        <v>0</v>
      </c>
      <c r="D25" s="697">
        <v>0</v>
      </c>
      <c r="E25" s="697">
        <v>0</v>
      </c>
      <c r="F25" s="697">
        <v>0</v>
      </c>
      <c r="G25" s="697">
        <v>0</v>
      </c>
      <c r="H25" s="697">
        <v>0</v>
      </c>
      <c r="I25" s="695">
        <v>0</v>
      </c>
      <c r="J25" s="695">
        <v>0</v>
      </c>
      <c r="K25" s="697">
        <v>0</v>
      </c>
      <c r="L25" s="697">
        <v>0</v>
      </c>
      <c r="M25" s="697">
        <v>0</v>
      </c>
      <c r="N25" s="695">
        <v>0</v>
      </c>
      <c r="O25" s="695">
        <v>0</v>
      </c>
      <c r="P25" s="697">
        <v>0</v>
      </c>
      <c r="Q25" s="695">
        <v>0</v>
      </c>
      <c r="R25" s="682">
        <v>0</v>
      </c>
      <c r="S25" s="682">
        <v>0</v>
      </c>
      <c r="T25" s="682">
        <v>0</v>
      </c>
      <c r="U25" s="682">
        <v>0</v>
      </c>
      <c r="V25" s="682">
        <v>0</v>
      </c>
      <c r="W25" s="683">
        <v>0</v>
      </c>
      <c r="X25">
        <v>0</v>
      </c>
      <c r="Y25">
        <v>0</v>
      </c>
    </row>
    <row r="26" spans="1:25" s="1" customFormat="1">
      <c r="A26" s="185"/>
      <c r="B26" s="243" t="s">
        <v>982</v>
      </c>
      <c r="C26" s="696">
        <v>-3.6897670076701731E-3</v>
      </c>
      <c r="D26" s="698">
        <v>0</v>
      </c>
      <c r="E26" s="698">
        <v>0</v>
      </c>
      <c r="F26" s="698">
        <v>-1.8075192802056556E-3</v>
      </c>
      <c r="G26" s="698">
        <v>0</v>
      </c>
      <c r="H26" s="698">
        <v>0</v>
      </c>
      <c r="I26" s="696">
        <v>-3.3870162760910893E-3</v>
      </c>
      <c r="J26" s="696">
        <v>0</v>
      </c>
      <c r="K26" s="698">
        <v>-3.3622226319995081E-3</v>
      </c>
      <c r="L26" s="698">
        <v>-2.5828360313922428E-3</v>
      </c>
      <c r="M26" s="698">
        <v>0</v>
      </c>
      <c r="N26" s="696">
        <v>-2.9519736593119632E-3</v>
      </c>
      <c r="O26" s="696">
        <v>0</v>
      </c>
      <c r="P26" s="698">
        <v>0</v>
      </c>
      <c r="Q26" s="696">
        <v>0</v>
      </c>
      <c r="R26" s="684">
        <v>0</v>
      </c>
      <c r="S26" s="684">
        <v>0</v>
      </c>
      <c r="T26" s="684">
        <v>0</v>
      </c>
      <c r="U26" s="684">
        <v>0</v>
      </c>
      <c r="V26" s="684">
        <v>0</v>
      </c>
      <c r="W26" s="685">
        <v>0</v>
      </c>
      <c r="X26">
        <v>0</v>
      </c>
      <c r="Y26">
        <v>0</v>
      </c>
    </row>
    <row r="27" spans="1:25">
      <c r="A27" s="669" t="s">
        <v>163</v>
      </c>
      <c r="B27" s="667" t="s">
        <v>11</v>
      </c>
      <c r="C27" s="692">
        <v>5146567</v>
      </c>
      <c r="D27" s="693">
        <v>570235</v>
      </c>
      <c r="E27" s="693">
        <v>953563</v>
      </c>
      <c r="F27" s="693">
        <v>268823</v>
      </c>
      <c r="G27" s="693">
        <v>0</v>
      </c>
      <c r="H27" s="693">
        <v>27680</v>
      </c>
      <c r="I27" s="692">
        <v>6966868</v>
      </c>
      <c r="J27" s="692">
        <v>21374799</v>
      </c>
      <c r="K27" s="693">
        <v>16269597</v>
      </c>
      <c r="L27" s="693">
        <v>2701663</v>
      </c>
      <c r="M27" s="693">
        <v>208171</v>
      </c>
      <c r="N27" s="692">
        <v>40554230</v>
      </c>
      <c r="O27" s="692">
        <v>0</v>
      </c>
      <c r="P27" s="693">
        <v>0</v>
      </c>
      <c r="Q27" s="692">
        <v>0</v>
      </c>
      <c r="R27" s="676">
        <v>0</v>
      </c>
      <c r="S27" s="676">
        <v>0</v>
      </c>
      <c r="T27" s="676">
        <v>0</v>
      </c>
      <c r="U27" s="676">
        <v>0</v>
      </c>
      <c r="V27" s="676">
        <v>0</v>
      </c>
      <c r="W27" s="677">
        <v>0</v>
      </c>
      <c r="X27">
        <v>0</v>
      </c>
      <c r="Y27">
        <v>0</v>
      </c>
    </row>
    <row r="28" spans="1:25" s="1" customFormat="1">
      <c r="A28" s="182"/>
      <c r="B28" s="31" t="s">
        <v>15</v>
      </c>
      <c r="C28" s="694">
        <v>20550</v>
      </c>
      <c r="D28" s="107">
        <v>5294</v>
      </c>
      <c r="E28" s="107">
        <v>1207</v>
      </c>
      <c r="F28" s="107">
        <v>2161</v>
      </c>
      <c r="G28" s="107">
        <v>0</v>
      </c>
      <c r="H28" s="107">
        <v>32</v>
      </c>
      <c r="I28" s="694">
        <v>29244</v>
      </c>
      <c r="J28" s="694">
        <v>277997</v>
      </c>
      <c r="K28" s="107">
        <v>382933</v>
      </c>
      <c r="L28" s="107">
        <v>156710</v>
      </c>
      <c r="M28" s="107">
        <v>5836</v>
      </c>
      <c r="N28" s="694">
        <v>823476</v>
      </c>
      <c r="O28" s="694">
        <v>0</v>
      </c>
      <c r="P28" s="107">
        <v>0</v>
      </c>
      <c r="Q28" s="694">
        <v>0</v>
      </c>
      <c r="R28" s="678">
        <v>0</v>
      </c>
      <c r="S28" s="678">
        <v>0</v>
      </c>
      <c r="T28" s="678">
        <v>0</v>
      </c>
      <c r="U28" s="678">
        <v>0</v>
      </c>
      <c r="V28" s="678">
        <v>0</v>
      </c>
      <c r="W28" s="679">
        <v>0</v>
      </c>
      <c r="X28">
        <v>0</v>
      </c>
      <c r="Y28">
        <v>0</v>
      </c>
    </row>
    <row r="29" spans="1:25">
      <c r="A29" s="182"/>
      <c r="B29" s="217" t="s">
        <v>17</v>
      </c>
      <c r="C29" s="695">
        <v>3.992952972340591E-3</v>
      </c>
      <c r="D29" s="697">
        <v>9.2838917288486332E-3</v>
      </c>
      <c r="E29" s="697">
        <v>1.2657789784209328E-3</v>
      </c>
      <c r="F29" s="697">
        <v>8.0387466846214804E-3</v>
      </c>
      <c r="G29" s="697">
        <v>0</v>
      </c>
      <c r="H29" s="697">
        <v>1.1560693641618498E-3</v>
      </c>
      <c r="I29" s="695">
        <v>4.1975820411697196E-3</v>
      </c>
      <c r="J29" s="695">
        <v>1.3005829902774758E-2</v>
      </c>
      <c r="K29" s="697">
        <v>2.3536723128421682E-2</v>
      </c>
      <c r="L29" s="697">
        <v>5.8005013948815971E-2</v>
      </c>
      <c r="M29" s="697">
        <v>2.8034644595068478E-2</v>
      </c>
      <c r="N29" s="695">
        <v>2.0305551356788184E-2</v>
      </c>
      <c r="O29" s="695">
        <v>0</v>
      </c>
      <c r="P29" s="697">
        <v>0</v>
      </c>
      <c r="Q29" s="695">
        <v>0</v>
      </c>
      <c r="R29" s="680">
        <v>0</v>
      </c>
      <c r="S29" s="680">
        <v>0</v>
      </c>
      <c r="T29" s="680">
        <v>0</v>
      </c>
      <c r="U29" s="680">
        <v>0</v>
      </c>
      <c r="V29" s="680">
        <v>0</v>
      </c>
      <c r="W29" s="681">
        <v>0</v>
      </c>
      <c r="X29">
        <v>0</v>
      </c>
      <c r="Y29">
        <v>0</v>
      </c>
    </row>
    <row r="30" spans="1:25" s="1" customFormat="1">
      <c r="A30" s="182"/>
      <c r="B30" s="31" t="s">
        <v>12</v>
      </c>
      <c r="C30" s="694">
        <v>5323431</v>
      </c>
      <c r="D30" s="107">
        <v>599677</v>
      </c>
      <c r="E30" s="107">
        <v>962382</v>
      </c>
      <c r="F30" s="107">
        <v>288563</v>
      </c>
      <c r="G30" s="107">
        <v>0</v>
      </c>
      <c r="H30" s="107">
        <v>0</v>
      </c>
      <c r="I30" s="694">
        <v>7174053</v>
      </c>
      <c r="J30" s="694">
        <v>17016072</v>
      </c>
      <c r="K30" s="107">
        <v>14713914</v>
      </c>
      <c r="L30" s="107">
        <v>2220614</v>
      </c>
      <c r="M30" s="107">
        <v>192177</v>
      </c>
      <c r="N30" s="694">
        <v>34142777</v>
      </c>
      <c r="O30" s="694">
        <v>0</v>
      </c>
      <c r="P30" s="107">
        <v>0</v>
      </c>
      <c r="Q30" s="694">
        <v>0</v>
      </c>
      <c r="R30" s="678">
        <v>0</v>
      </c>
      <c r="S30" s="678">
        <v>0</v>
      </c>
      <c r="T30" s="678">
        <v>0</v>
      </c>
      <c r="U30" s="678">
        <v>0</v>
      </c>
      <c r="V30" s="678">
        <v>0</v>
      </c>
      <c r="W30" s="679">
        <v>0</v>
      </c>
      <c r="X30">
        <v>0</v>
      </c>
      <c r="Y30">
        <v>0</v>
      </c>
    </row>
    <row r="31" spans="1:25">
      <c r="A31" s="182"/>
      <c r="B31" s="31" t="s">
        <v>16</v>
      </c>
      <c r="C31" s="694">
        <v>28851</v>
      </c>
      <c r="D31" s="107">
        <v>6185</v>
      </c>
      <c r="E31" s="107">
        <v>1549</v>
      </c>
      <c r="F31" s="107">
        <v>2373</v>
      </c>
      <c r="G31" s="107">
        <v>0</v>
      </c>
      <c r="H31" s="107">
        <v>0</v>
      </c>
      <c r="I31" s="694">
        <v>38958</v>
      </c>
      <c r="J31" s="694">
        <v>270789</v>
      </c>
      <c r="K31" s="107">
        <v>420216</v>
      </c>
      <c r="L31" s="107">
        <v>154364</v>
      </c>
      <c r="M31" s="107">
        <v>6216</v>
      </c>
      <c r="N31" s="694">
        <v>851585</v>
      </c>
      <c r="O31" s="694">
        <v>0</v>
      </c>
      <c r="P31" s="107">
        <v>0</v>
      </c>
      <c r="Q31" s="694">
        <v>0</v>
      </c>
      <c r="R31" s="678">
        <v>0</v>
      </c>
      <c r="S31" s="678">
        <v>0</v>
      </c>
      <c r="T31" s="678">
        <v>0</v>
      </c>
      <c r="U31" s="678">
        <v>0</v>
      </c>
      <c r="V31" s="678">
        <v>0</v>
      </c>
      <c r="W31" s="679">
        <v>0</v>
      </c>
      <c r="X31">
        <v>0</v>
      </c>
      <c r="Y31">
        <v>0</v>
      </c>
    </row>
    <row r="32" spans="1:25" s="1" customFormat="1">
      <c r="A32" s="182"/>
      <c r="B32" s="223" t="s">
        <v>19</v>
      </c>
      <c r="C32" s="695">
        <v>5.4196250500851799E-3</v>
      </c>
      <c r="D32" s="697">
        <v>1.0313885641770486E-2</v>
      </c>
      <c r="E32" s="697">
        <v>1.6095479757518324E-3</v>
      </c>
      <c r="F32" s="697">
        <v>8.2235075182889011E-3</v>
      </c>
      <c r="G32" s="697">
        <v>0</v>
      </c>
      <c r="H32" s="697">
        <v>0</v>
      </c>
      <c r="I32" s="695">
        <v>5.4304031486803904E-3</v>
      </c>
      <c r="J32" s="695">
        <v>1.5913719688069022E-2</v>
      </c>
      <c r="K32" s="697">
        <v>2.8559090395662227E-2</v>
      </c>
      <c r="L32" s="697">
        <v>6.9514107359496063E-2</v>
      </c>
      <c r="M32" s="697">
        <v>3.2345181785541452E-2</v>
      </c>
      <c r="N32" s="695">
        <v>2.4941878629263226E-2</v>
      </c>
      <c r="O32" s="695">
        <v>0</v>
      </c>
      <c r="P32" s="697">
        <v>0</v>
      </c>
      <c r="Q32" s="695">
        <v>0</v>
      </c>
      <c r="R32" s="682">
        <v>0</v>
      </c>
      <c r="S32" s="682">
        <v>0</v>
      </c>
      <c r="T32" s="682">
        <v>0</v>
      </c>
      <c r="U32" s="682">
        <v>0</v>
      </c>
      <c r="V32" s="682">
        <v>0</v>
      </c>
      <c r="W32" s="683">
        <v>0</v>
      </c>
      <c r="X32">
        <v>0</v>
      </c>
      <c r="Y32">
        <v>0</v>
      </c>
    </row>
    <row r="33" spans="1:25">
      <c r="A33" s="185"/>
      <c r="B33" s="243" t="s">
        <v>982</v>
      </c>
      <c r="C33" s="696">
        <v>1.4266720777445889E-3</v>
      </c>
      <c r="D33" s="698">
        <v>1.0299939129218526E-3</v>
      </c>
      <c r="E33" s="698">
        <v>3.4376899733089966E-4</v>
      </c>
      <c r="F33" s="698">
        <v>1.8476083366742065E-4</v>
      </c>
      <c r="G33" s="698">
        <v>0</v>
      </c>
      <c r="H33" s="698">
        <v>-1.1560693641618498E-3</v>
      </c>
      <c r="I33" s="696">
        <v>1.2328211075106708E-3</v>
      </c>
      <c r="J33" s="696">
        <v>2.907889785294264E-3</v>
      </c>
      <c r="K33" s="698">
        <v>5.0223672672405455E-3</v>
      </c>
      <c r="L33" s="698">
        <v>1.1509093410680092E-2</v>
      </c>
      <c r="M33" s="698">
        <v>4.3105371904729739E-3</v>
      </c>
      <c r="N33" s="696">
        <v>4.6363272724750416E-3</v>
      </c>
      <c r="O33" s="696">
        <v>0</v>
      </c>
      <c r="P33" s="698">
        <v>0</v>
      </c>
      <c r="Q33" s="696">
        <v>0</v>
      </c>
      <c r="R33" s="684">
        <v>0</v>
      </c>
      <c r="S33" s="684">
        <v>0</v>
      </c>
      <c r="T33" s="684">
        <v>0</v>
      </c>
      <c r="U33" s="684">
        <v>0</v>
      </c>
      <c r="V33" s="684">
        <v>0</v>
      </c>
      <c r="W33" s="685">
        <v>0</v>
      </c>
      <c r="X33">
        <v>0</v>
      </c>
      <c r="Y33">
        <v>0</v>
      </c>
    </row>
    <row r="34" spans="1:25" s="1" customFormat="1">
      <c r="A34" s="669" t="s">
        <v>158</v>
      </c>
      <c r="B34" s="667" t="s">
        <v>11</v>
      </c>
      <c r="C34" s="692">
        <v>1394969</v>
      </c>
      <c r="D34" s="693">
        <v>409238</v>
      </c>
      <c r="E34" s="693">
        <v>1070184</v>
      </c>
      <c r="F34" s="693">
        <v>1232179.7</v>
      </c>
      <c r="G34" s="693">
        <v>761024</v>
      </c>
      <c r="H34" s="693">
        <v>268512</v>
      </c>
      <c r="I34" s="692">
        <v>5136106.7</v>
      </c>
      <c r="J34" s="692">
        <v>472010</v>
      </c>
      <c r="K34" s="693">
        <v>580804</v>
      </c>
      <c r="L34" s="693">
        <v>779813</v>
      </c>
      <c r="M34" s="693">
        <v>83973</v>
      </c>
      <c r="N34" s="692">
        <v>1916600</v>
      </c>
      <c r="O34" s="692">
        <v>0</v>
      </c>
      <c r="P34" s="693">
        <v>0</v>
      </c>
      <c r="Q34" s="692">
        <v>2770797.8663000003</v>
      </c>
      <c r="R34" s="676">
        <v>0</v>
      </c>
      <c r="S34" s="676">
        <v>2770797.8663000003</v>
      </c>
      <c r="T34" s="676">
        <v>0</v>
      </c>
      <c r="U34" s="676">
        <v>0</v>
      </c>
      <c r="V34" s="676">
        <v>0</v>
      </c>
      <c r="W34" s="677">
        <v>0</v>
      </c>
      <c r="X34">
        <v>0</v>
      </c>
      <c r="Y34">
        <v>0</v>
      </c>
    </row>
    <row r="35" spans="1:25">
      <c r="A35" s="182"/>
      <c r="B35" s="31" t="s">
        <v>15</v>
      </c>
      <c r="C35" s="694">
        <v>1942.5</v>
      </c>
      <c r="D35" s="107">
        <v>1950</v>
      </c>
      <c r="E35" s="107">
        <v>4513</v>
      </c>
      <c r="F35" s="107">
        <v>5162</v>
      </c>
      <c r="G35" s="107">
        <v>6670</v>
      </c>
      <c r="H35" s="107">
        <v>2698</v>
      </c>
      <c r="I35" s="694">
        <v>22935.5</v>
      </c>
      <c r="J35" s="694">
        <v>3358</v>
      </c>
      <c r="K35" s="107">
        <v>9130</v>
      </c>
      <c r="L35" s="107">
        <v>8362</v>
      </c>
      <c r="M35" s="107">
        <v>1394</v>
      </c>
      <c r="N35" s="694">
        <v>22244</v>
      </c>
      <c r="O35" s="694">
        <v>0</v>
      </c>
      <c r="P35" s="107">
        <v>0</v>
      </c>
      <c r="Q35" s="694">
        <v>75830.899999999994</v>
      </c>
      <c r="R35" s="678">
        <v>0</v>
      </c>
      <c r="S35" s="678">
        <v>75830.899999999994</v>
      </c>
      <c r="T35" s="678">
        <v>0</v>
      </c>
      <c r="U35" s="678">
        <v>0</v>
      </c>
      <c r="V35" s="678">
        <v>0</v>
      </c>
      <c r="W35" s="679">
        <v>0</v>
      </c>
      <c r="X35">
        <v>0</v>
      </c>
      <c r="Y35">
        <v>0</v>
      </c>
    </row>
    <row r="36" spans="1:25" s="1" customFormat="1">
      <c r="A36" s="182"/>
      <c r="B36" s="217" t="s">
        <v>17</v>
      </c>
      <c r="C36" s="695">
        <v>1.392504062814299E-3</v>
      </c>
      <c r="D36" s="697">
        <v>4.7649534011993018E-3</v>
      </c>
      <c r="E36" s="697">
        <v>4.2170318375157915E-3</v>
      </c>
      <c r="F36" s="697">
        <v>4.1893240085029808E-3</v>
      </c>
      <c r="G36" s="697">
        <v>8.7645067698259183E-3</v>
      </c>
      <c r="H36" s="697">
        <v>1.0047968061017758E-2</v>
      </c>
      <c r="I36" s="695">
        <v>4.4655419639159756E-3</v>
      </c>
      <c r="J36" s="695">
        <v>7.114256053897163E-3</v>
      </c>
      <c r="K36" s="697">
        <v>1.5719588708066747E-2</v>
      </c>
      <c r="L36" s="697">
        <v>1.072308361107086E-2</v>
      </c>
      <c r="M36" s="697">
        <v>1.660057399402189E-2</v>
      </c>
      <c r="N36" s="695">
        <v>1.1605968903266201E-2</v>
      </c>
      <c r="O36" s="695">
        <v>0</v>
      </c>
      <c r="P36" s="697">
        <v>0</v>
      </c>
      <c r="Q36" s="695">
        <v>2.7367893169797042E-2</v>
      </c>
      <c r="R36" s="680">
        <v>0</v>
      </c>
      <c r="S36" s="680">
        <v>2.7367893169797042E-2</v>
      </c>
      <c r="T36" s="680">
        <v>0</v>
      </c>
      <c r="U36" s="680">
        <v>0</v>
      </c>
      <c r="V36" s="680">
        <v>0</v>
      </c>
      <c r="W36" s="681">
        <v>0</v>
      </c>
      <c r="X36">
        <v>0</v>
      </c>
      <c r="Y36">
        <v>0</v>
      </c>
    </row>
    <row r="37" spans="1:25">
      <c r="A37" s="182"/>
      <c r="B37" s="31" t="s">
        <v>12</v>
      </c>
      <c r="C37" s="694">
        <v>1399657.1</v>
      </c>
      <c r="D37" s="107">
        <v>412425</v>
      </c>
      <c r="E37" s="107">
        <v>1084379.5</v>
      </c>
      <c r="F37" s="107">
        <v>1248222.8999999999</v>
      </c>
      <c r="G37" s="107">
        <v>773266</v>
      </c>
      <c r="H37" s="107">
        <v>325002</v>
      </c>
      <c r="I37" s="694">
        <v>5242952.5</v>
      </c>
      <c r="J37" s="694">
        <v>454478</v>
      </c>
      <c r="K37" s="107">
        <v>610237</v>
      </c>
      <c r="L37" s="107">
        <v>784058</v>
      </c>
      <c r="M37" s="107">
        <v>81635</v>
      </c>
      <c r="N37" s="694">
        <v>1930408</v>
      </c>
      <c r="O37" s="694">
        <v>0</v>
      </c>
      <c r="P37" s="107">
        <v>0</v>
      </c>
      <c r="Q37" s="694">
        <v>2900245.0000000005</v>
      </c>
      <c r="R37" s="678">
        <v>0</v>
      </c>
      <c r="S37" s="678">
        <v>2900245.0000000005</v>
      </c>
      <c r="T37" s="678">
        <v>0</v>
      </c>
      <c r="U37" s="678">
        <v>0</v>
      </c>
      <c r="V37" s="678">
        <v>0</v>
      </c>
      <c r="W37" s="679">
        <v>0</v>
      </c>
      <c r="X37">
        <v>0</v>
      </c>
      <c r="Y37">
        <v>0</v>
      </c>
    </row>
    <row r="38" spans="1:25" s="1" customFormat="1">
      <c r="A38" s="182"/>
      <c r="B38" s="31" t="s">
        <v>16</v>
      </c>
      <c r="C38" s="694">
        <v>1777.5</v>
      </c>
      <c r="D38" s="107">
        <v>2210</v>
      </c>
      <c r="E38" s="107">
        <v>4763</v>
      </c>
      <c r="F38" s="107">
        <v>5680</v>
      </c>
      <c r="G38" s="107">
        <v>7593</v>
      </c>
      <c r="H38" s="107">
        <v>3611</v>
      </c>
      <c r="I38" s="694">
        <v>25634.5</v>
      </c>
      <c r="J38" s="694">
        <v>12963</v>
      </c>
      <c r="K38" s="107">
        <v>772</v>
      </c>
      <c r="L38" s="107">
        <v>9938.5</v>
      </c>
      <c r="M38" s="107">
        <v>1563</v>
      </c>
      <c r="N38" s="694">
        <v>25236.5</v>
      </c>
      <c r="O38" s="694">
        <v>0</v>
      </c>
      <c r="P38" s="107">
        <v>0</v>
      </c>
      <c r="Q38" s="694">
        <v>53295.500000000007</v>
      </c>
      <c r="R38" s="678">
        <v>0</v>
      </c>
      <c r="S38" s="678">
        <v>53295.500000000007</v>
      </c>
      <c r="T38" s="678">
        <v>0</v>
      </c>
      <c r="U38" s="678">
        <v>0</v>
      </c>
      <c r="V38" s="678">
        <v>0</v>
      </c>
      <c r="W38" s="679">
        <v>0</v>
      </c>
      <c r="X38">
        <v>0</v>
      </c>
      <c r="Y38">
        <v>0</v>
      </c>
    </row>
    <row r="39" spans="1:25">
      <c r="A39" s="182"/>
      <c r="B39" s="223" t="s">
        <v>19</v>
      </c>
      <c r="C39" s="695">
        <v>1.2699539051386228E-3</v>
      </c>
      <c r="D39" s="697">
        <v>5.3585500394011032E-3</v>
      </c>
      <c r="E39" s="697">
        <v>4.3923737031177738E-3</v>
      </c>
      <c r="F39" s="697">
        <v>4.5504693112103619E-3</v>
      </c>
      <c r="G39" s="697">
        <v>9.8193894468397679E-3</v>
      </c>
      <c r="H39" s="697">
        <v>1.1110700857225495E-2</v>
      </c>
      <c r="I39" s="695">
        <v>4.8893252418365412E-3</v>
      </c>
      <c r="J39" s="695">
        <v>2.8522832788385796E-2</v>
      </c>
      <c r="K39" s="697">
        <v>1.265082254927184E-3</v>
      </c>
      <c r="L39" s="697">
        <v>1.2675720418642499E-2</v>
      </c>
      <c r="M39" s="697">
        <v>1.914619954676303E-2</v>
      </c>
      <c r="N39" s="695">
        <v>1.3073143086850033E-2</v>
      </c>
      <c r="O39" s="695">
        <v>0</v>
      </c>
      <c r="P39" s="697">
        <v>0</v>
      </c>
      <c r="Q39" s="695">
        <v>1.837620614810128E-2</v>
      </c>
      <c r="R39" s="682">
        <v>0</v>
      </c>
      <c r="S39" s="682">
        <v>1.837620614810128E-2</v>
      </c>
      <c r="T39" s="682">
        <v>0</v>
      </c>
      <c r="U39" s="682">
        <v>0</v>
      </c>
      <c r="V39" s="682">
        <v>0</v>
      </c>
      <c r="W39" s="683">
        <v>0</v>
      </c>
      <c r="X39">
        <v>0</v>
      </c>
      <c r="Y39">
        <v>0</v>
      </c>
    </row>
    <row r="40" spans="1:25" s="1" customFormat="1">
      <c r="A40" s="185"/>
      <c r="B40" s="243" t="s">
        <v>982</v>
      </c>
      <c r="C40" s="696">
        <v>-1.2255015767567625E-4</v>
      </c>
      <c r="D40" s="698">
        <v>5.9359663820180136E-4</v>
      </c>
      <c r="E40" s="698">
        <v>1.7534186560198232E-4</v>
      </c>
      <c r="F40" s="698">
        <v>3.6114530270738108E-4</v>
      </c>
      <c r="G40" s="698">
        <v>1.0548826770138495E-3</v>
      </c>
      <c r="H40" s="698">
        <v>1.0627327962077372E-3</v>
      </c>
      <c r="I40" s="696">
        <v>4.2378327792056553E-4</v>
      </c>
      <c r="J40" s="696">
        <v>2.1408576734488632E-2</v>
      </c>
      <c r="K40" s="698">
        <v>-1.4454506453139563E-2</v>
      </c>
      <c r="L40" s="698">
        <v>1.9526368075716387E-3</v>
      </c>
      <c r="M40" s="698">
        <v>2.5456255527411403E-3</v>
      </c>
      <c r="N40" s="696">
        <v>1.4671741835838321E-3</v>
      </c>
      <c r="O40" s="696">
        <v>0</v>
      </c>
      <c r="P40" s="698">
        <v>0</v>
      </c>
      <c r="Q40" s="696">
        <v>-8.9916870216957615E-3</v>
      </c>
      <c r="R40" s="684">
        <v>0</v>
      </c>
      <c r="S40" s="684">
        <v>-8.9916870216957615E-3</v>
      </c>
      <c r="T40" s="684">
        <v>0</v>
      </c>
      <c r="U40" s="684">
        <v>0</v>
      </c>
      <c r="V40" s="684">
        <v>0</v>
      </c>
      <c r="W40" s="685">
        <v>0</v>
      </c>
      <c r="X40">
        <v>0</v>
      </c>
      <c r="Y40">
        <v>0</v>
      </c>
    </row>
    <row r="41" spans="1:25">
      <c r="A41" s="669" t="s">
        <v>29</v>
      </c>
      <c r="B41" s="667" t="s">
        <v>11</v>
      </c>
      <c r="C41" s="692">
        <v>933822.5</v>
      </c>
      <c r="D41" s="693">
        <v>0</v>
      </c>
      <c r="E41" s="693">
        <v>1247813</v>
      </c>
      <c r="F41" s="693">
        <v>398429</v>
      </c>
      <c r="G41" s="693">
        <v>0</v>
      </c>
      <c r="H41" s="693">
        <v>0</v>
      </c>
      <c r="I41" s="692">
        <v>2580064.5</v>
      </c>
      <c r="J41" s="692">
        <v>0</v>
      </c>
      <c r="K41" s="693">
        <v>553223.30000000005</v>
      </c>
      <c r="L41" s="693">
        <v>1013228.6</v>
      </c>
      <c r="M41" s="693">
        <v>114872</v>
      </c>
      <c r="N41" s="692">
        <v>1681323.9</v>
      </c>
      <c r="O41" s="692">
        <v>0</v>
      </c>
      <c r="P41" s="693">
        <v>0</v>
      </c>
      <c r="Q41" s="692">
        <v>137535</v>
      </c>
      <c r="R41" s="676">
        <v>0</v>
      </c>
      <c r="S41" s="676">
        <v>137535</v>
      </c>
      <c r="T41" s="676">
        <v>0</v>
      </c>
      <c r="U41" s="676">
        <v>0</v>
      </c>
      <c r="V41" s="676">
        <v>0</v>
      </c>
      <c r="W41" s="677">
        <v>0</v>
      </c>
      <c r="X41">
        <v>0</v>
      </c>
      <c r="Y41">
        <v>0</v>
      </c>
    </row>
    <row r="42" spans="1:25" s="1" customFormat="1">
      <c r="A42" s="182"/>
      <c r="B42" s="31" t="s">
        <v>15</v>
      </c>
      <c r="C42" s="694">
        <v>1091</v>
      </c>
      <c r="D42" s="107">
        <v>0</v>
      </c>
      <c r="E42" s="107">
        <v>17866</v>
      </c>
      <c r="F42" s="107">
        <v>4474</v>
      </c>
      <c r="G42" s="107">
        <v>0</v>
      </c>
      <c r="H42" s="107">
        <v>0</v>
      </c>
      <c r="I42" s="694">
        <v>23431</v>
      </c>
      <c r="J42" s="694">
        <v>0</v>
      </c>
      <c r="K42" s="107">
        <v>18068</v>
      </c>
      <c r="L42" s="107">
        <v>68778</v>
      </c>
      <c r="M42" s="107">
        <v>5748</v>
      </c>
      <c r="N42" s="694">
        <v>92594</v>
      </c>
      <c r="O42" s="694">
        <v>0</v>
      </c>
      <c r="P42" s="107">
        <v>0</v>
      </c>
      <c r="Q42" s="694">
        <v>8685</v>
      </c>
      <c r="R42" s="678">
        <v>0</v>
      </c>
      <c r="S42" s="678">
        <v>8685</v>
      </c>
      <c r="T42" s="678">
        <v>0</v>
      </c>
      <c r="U42" s="678">
        <v>0</v>
      </c>
      <c r="V42" s="678">
        <v>0</v>
      </c>
      <c r="W42" s="679">
        <v>0</v>
      </c>
      <c r="X42">
        <v>0</v>
      </c>
      <c r="Y42">
        <v>0</v>
      </c>
    </row>
    <row r="43" spans="1:25">
      <c r="A43" s="182"/>
      <c r="B43" s="217" t="s">
        <v>17</v>
      </c>
      <c r="C43" s="695">
        <v>1.1683162485375967E-3</v>
      </c>
      <c r="D43" s="697">
        <v>0</v>
      </c>
      <c r="E43" s="697">
        <v>1.431785051125449E-2</v>
      </c>
      <c r="F43" s="697">
        <v>1.1229102299280425E-2</v>
      </c>
      <c r="G43" s="697">
        <v>0</v>
      </c>
      <c r="H43" s="697">
        <v>0</v>
      </c>
      <c r="I43" s="695">
        <v>9.0815559068387636E-3</v>
      </c>
      <c r="J43" s="695">
        <v>0</v>
      </c>
      <c r="K43" s="697">
        <v>3.2659506568143461E-2</v>
      </c>
      <c r="L43" s="697">
        <v>6.7880042075401353E-2</v>
      </c>
      <c r="M43" s="697">
        <v>5.0038303503029458E-2</v>
      </c>
      <c r="N43" s="695">
        <v>5.5072077426604124E-2</v>
      </c>
      <c r="O43" s="695">
        <v>0</v>
      </c>
      <c r="P43" s="697">
        <v>0</v>
      </c>
      <c r="Q43" s="695">
        <v>6.314756243865198E-2</v>
      </c>
      <c r="R43" s="680">
        <v>0</v>
      </c>
      <c r="S43" s="680">
        <v>6.314756243865198E-2</v>
      </c>
      <c r="T43" s="680">
        <v>0</v>
      </c>
      <c r="U43" s="680">
        <v>0</v>
      </c>
      <c r="V43" s="680">
        <v>0</v>
      </c>
      <c r="W43" s="681">
        <v>0</v>
      </c>
      <c r="X43">
        <v>0</v>
      </c>
      <c r="Y43">
        <v>0</v>
      </c>
    </row>
    <row r="44" spans="1:25" s="1" customFormat="1">
      <c r="A44" s="182"/>
      <c r="B44" s="31" t="s">
        <v>12</v>
      </c>
      <c r="C44" s="694">
        <v>952974</v>
      </c>
      <c r="D44" s="107">
        <v>0</v>
      </c>
      <c r="E44" s="107">
        <v>1237192</v>
      </c>
      <c r="F44" s="107">
        <v>398501</v>
      </c>
      <c r="G44" s="107">
        <v>0</v>
      </c>
      <c r="H44" s="107">
        <v>0</v>
      </c>
      <c r="I44" s="694">
        <v>2588667</v>
      </c>
      <c r="J44" s="694">
        <v>0</v>
      </c>
      <c r="K44" s="107">
        <v>552703</v>
      </c>
      <c r="L44" s="107">
        <v>1017910</v>
      </c>
      <c r="M44" s="107">
        <v>111598</v>
      </c>
      <c r="N44" s="694">
        <v>1682211</v>
      </c>
      <c r="O44" s="694">
        <v>0</v>
      </c>
      <c r="P44" s="107">
        <v>0</v>
      </c>
      <c r="Q44" s="694">
        <v>144516</v>
      </c>
      <c r="R44" s="678">
        <v>0</v>
      </c>
      <c r="S44" s="678">
        <v>144516</v>
      </c>
      <c r="T44" s="678">
        <v>0</v>
      </c>
      <c r="U44" s="678">
        <v>0</v>
      </c>
      <c r="V44" s="678">
        <v>0</v>
      </c>
      <c r="W44" s="679">
        <v>0</v>
      </c>
      <c r="X44">
        <v>0</v>
      </c>
      <c r="Y44">
        <v>0</v>
      </c>
    </row>
    <row r="45" spans="1:25">
      <c r="A45" s="182"/>
      <c r="B45" s="31" t="s">
        <v>16</v>
      </c>
      <c r="C45" s="694">
        <v>1329</v>
      </c>
      <c r="D45" s="107">
        <v>0</v>
      </c>
      <c r="E45" s="107">
        <v>26798</v>
      </c>
      <c r="F45" s="107">
        <v>4596</v>
      </c>
      <c r="G45" s="107">
        <v>0</v>
      </c>
      <c r="H45" s="107">
        <v>0</v>
      </c>
      <c r="I45" s="694">
        <v>32723</v>
      </c>
      <c r="J45" s="694">
        <v>0</v>
      </c>
      <c r="K45" s="107">
        <v>20027</v>
      </c>
      <c r="L45" s="107">
        <v>70653</v>
      </c>
      <c r="M45" s="107">
        <v>6467</v>
      </c>
      <c r="N45" s="694">
        <v>97147</v>
      </c>
      <c r="O45" s="694">
        <v>0</v>
      </c>
      <c r="P45" s="107">
        <v>0</v>
      </c>
      <c r="Q45" s="694">
        <v>9135</v>
      </c>
      <c r="R45" s="678">
        <v>0</v>
      </c>
      <c r="S45" s="678">
        <v>9135</v>
      </c>
      <c r="T45" s="678">
        <v>0</v>
      </c>
      <c r="U45" s="678">
        <v>0</v>
      </c>
      <c r="V45" s="678">
        <v>0</v>
      </c>
      <c r="W45" s="679">
        <v>0</v>
      </c>
      <c r="X45">
        <v>0</v>
      </c>
      <c r="Y45">
        <v>0</v>
      </c>
    </row>
    <row r="46" spans="1:25" s="1" customFormat="1">
      <c r="A46" s="182"/>
      <c r="B46" s="223" t="s">
        <v>19</v>
      </c>
      <c r="C46" s="695">
        <v>1.3945815940413905E-3</v>
      </c>
      <c r="D46" s="697">
        <v>0</v>
      </c>
      <c r="E46" s="697">
        <v>2.1660340513032738E-2</v>
      </c>
      <c r="F46" s="697">
        <v>1.1533220744740917E-2</v>
      </c>
      <c r="G46" s="697">
        <v>0</v>
      </c>
      <c r="H46" s="697">
        <v>0</v>
      </c>
      <c r="I46" s="695">
        <v>1.2640868833264379E-2</v>
      </c>
      <c r="J46" s="695">
        <v>0</v>
      </c>
      <c r="K46" s="697">
        <v>3.6234650436129348E-2</v>
      </c>
      <c r="L46" s="697">
        <v>6.9409869241877961E-2</v>
      </c>
      <c r="M46" s="697">
        <v>5.7949067187584004E-2</v>
      </c>
      <c r="N46" s="695">
        <v>5.7749592649197989E-2</v>
      </c>
      <c r="O46" s="695">
        <v>0</v>
      </c>
      <c r="P46" s="697">
        <v>0</v>
      </c>
      <c r="Q46" s="695">
        <v>6.3210993938387444E-2</v>
      </c>
      <c r="R46" s="682">
        <v>0</v>
      </c>
      <c r="S46" s="682">
        <v>6.3210993938387444E-2</v>
      </c>
      <c r="T46" s="682">
        <v>0</v>
      </c>
      <c r="U46" s="682">
        <v>0</v>
      </c>
      <c r="V46" s="682">
        <v>0</v>
      </c>
      <c r="W46" s="683">
        <v>0</v>
      </c>
      <c r="X46">
        <v>0</v>
      </c>
      <c r="Y46">
        <v>0</v>
      </c>
    </row>
    <row r="47" spans="1:25">
      <c r="A47" s="185"/>
      <c r="B47" s="243" t="s">
        <v>982</v>
      </c>
      <c r="C47" s="696">
        <v>2.2626534550379378E-4</v>
      </c>
      <c r="D47" s="698">
        <v>0</v>
      </c>
      <c r="E47" s="698">
        <v>7.3424900017782478E-3</v>
      </c>
      <c r="F47" s="698">
        <v>3.041184454604922E-4</v>
      </c>
      <c r="G47" s="698">
        <v>0</v>
      </c>
      <c r="H47" s="698">
        <v>0</v>
      </c>
      <c r="I47" s="696">
        <v>3.5593129264256153E-3</v>
      </c>
      <c r="J47" s="696">
        <v>0</v>
      </c>
      <c r="K47" s="698">
        <v>3.5751438679858874E-3</v>
      </c>
      <c r="L47" s="698">
        <v>1.5298271664766078E-3</v>
      </c>
      <c r="M47" s="698">
        <v>7.9107636845545462E-3</v>
      </c>
      <c r="N47" s="696">
        <v>2.6775152225938653E-3</v>
      </c>
      <c r="O47" s="696">
        <v>0</v>
      </c>
      <c r="P47" s="698">
        <v>0</v>
      </c>
      <c r="Q47" s="696">
        <v>6.3431499735464025E-5</v>
      </c>
      <c r="R47" s="684">
        <v>0</v>
      </c>
      <c r="S47" s="684">
        <v>6.3431499735464025E-5</v>
      </c>
      <c r="T47" s="684">
        <v>0</v>
      </c>
      <c r="U47" s="684">
        <v>0</v>
      </c>
      <c r="V47" s="684">
        <v>0</v>
      </c>
      <c r="W47" s="685">
        <v>0</v>
      </c>
      <c r="X47">
        <v>0</v>
      </c>
      <c r="Y47">
        <v>0</v>
      </c>
    </row>
    <row r="48" spans="1:25" s="1" customFormat="1">
      <c r="A48" s="669" t="s">
        <v>204</v>
      </c>
      <c r="B48" s="667" t="s">
        <v>11</v>
      </c>
      <c r="C48" s="692">
        <v>719393</v>
      </c>
      <c r="D48" s="693">
        <v>860501</v>
      </c>
      <c r="E48" s="693">
        <v>750079</v>
      </c>
      <c r="F48" s="693">
        <v>915232</v>
      </c>
      <c r="G48" s="693">
        <v>0</v>
      </c>
      <c r="H48" s="693">
        <v>56504</v>
      </c>
      <c r="I48" s="692">
        <v>3301709</v>
      </c>
      <c r="J48" s="692">
        <v>0</v>
      </c>
      <c r="K48" s="693">
        <v>573522</v>
      </c>
      <c r="L48" s="693">
        <v>286156</v>
      </c>
      <c r="M48" s="693">
        <v>230102</v>
      </c>
      <c r="N48" s="692">
        <v>1089780</v>
      </c>
      <c r="O48" s="692">
        <v>0</v>
      </c>
      <c r="P48" s="693">
        <v>0</v>
      </c>
      <c r="Q48" s="692">
        <v>594926</v>
      </c>
      <c r="R48" s="676">
        <v>0</v>
      </c>
      <c r="S48" s="676">
        <v>594926</v>
      </c>
      <c r="T48" s="676">
        <v>0</v>
      </c>
      <c r="U48" s="676">
        <v>0</v>
      </c>
      <c r="V48" s="676">
        <v>0</v>
      </c>
      <c r="W48" s="677">
        <v>0</v>
      </c>
      <c r="X48">
        <v>0</v>
      </c>
      <c r="Y48">
        <v>0</v>
      </c>
    </row>
    <row r="49" spans="1:25">
      <c r="A49" s="182"/>
      <c r="B49" s="31" t="s">
        <v>15</v>
      </c>
      <c r="C49" s="694">
        <v>741</v>
      </c>
      <c r="D49" s="107">
        <v>9079</v>
      </c>
      <c r="E49" s="107">
        <v>12836</v>
      </c>
      <c r="F49" s="107">
        <v>17194</v>
      </c>
      <c r="G49" s="107">
        <v>0</v>
      </c>
      <c r="H49" s="107">
        <v>2502</v>
      </c>
      <c r="I49" s="694">
        <v>42352</v>
      </c>
      <c r="J49" s="694">
        <v>0</v>
      </c>
      <c r="K49" s="107">
        <v>3330</v>
      </c>
      <c r="L49" s="107">
        <v>13935</v>
      </c>
      <c r="M49" s="107">
        <v>13692</v>
      </c>
      <c r="N49" s="694">
        <v>30957</v>
      </c>
      <c r="O49" s="694">
        <v>0</v>
      </c>
      <c r="P49" s="107">
        <v>0</v>
      </c>
      <c r="Q49" s="694">
        <v>80469</v>
      </c>
      <c r="R49" s="678">
        <v>0</v>
      </c>
      <c r="S49" s="678">
        <v>80469</v>
      </c>
      <c r="T49" s="678">
        <v>0</v>
      </c>
      <c r="U49" s="678">
        <v>0</v>
      </c>
      <c r="V49" s="678">
        <v>0</v>
      </c>
      <c r="W49" s="679">
        <v>0</v>
      </c>
      <c r="X49">
        <v>0</v>
      </c>
      <c r="Y49">
        <v>0</v>
      </c>
    </row>
    <row r="50" spans="1:25" s="1" customFormat="1">
      <c r="A50" s="182"/>
      <c r="B50" s="217" t="s">
        <v>17</v>
      </c>
      <c r="C50" s="695">
        <v>1.0300350434324494E-3</v>
      </c>
      <c r="D50" s="697">
        <v>1.0550830272132165E-2</v>
      </c>
      <c r="E50" s="697">
        <v>1.7112864111646905E-2</v>
      </c>
      <c r="F50" s="697">
        <v>1.8786493479248979E-2</v>
      </c>
      <c r="G50" s="697">
        <v>0</v>
      </c>
      <c r="H50" s="697">
        <v>4.4280050969842846E-2</v>
      </c>
      <c r="I50" s="695">
        <v>1.2827296409223223E-2</v>
      </c>
      <c r="J50" s="695">
        <v>0</v>
      </c>
      <c r="K50" s="697">
        <v>5.8062288804963018E-3</v>
      </c>
      <c r="L50" s="697">
        <v>4.8697214106990593E-2</v>
      </c>
      <c r="M50" s="697">
        <v>5.9504046031759829E-2</v>
      </c>
      <c r="N50" s="695">
        <v>2.8406650883664591E-2</v>
      </c>
      <c r="O50" s="695">
        <v>0</v>
      </c>
      <c r="P50" s="697">
        <v>0</v>
      </c>
      <c r="Q50" s="695">
        <v>0.13525883891441962</v>
      </c>
      <c r="R50" s="680">
        <v>0</v>
      </c>
      <c r="S50" s="680">
        <v>0.13525883891441962</v>
      </c>
      <c r="T50" s="680">
        <v>0</v>
      </c>
      <c r="U50" s="680">
        <v>0</v>
      </c>
      <c r="V50" s="680">
        <v>0</v>
      </c>
      <c r="W50" s="681">
        <v>0</v>
      </c>
      <c r="X50">
        <v>0</v>
      </c>
      <c r="Y50">
        <v>0</v>
      </c>
    </row>
    <row r="51" spans="1:25">
      <c r="A51" s="182"/>
      <c r="B51" s="31" t="s">
        <v>12</v>
      </c>
      <c r="C51" s="694">
        <v>727637</v>
      </c>
      <c r="D51" s="107">
        <v>862080</v>
      </c>
      <c r="E51" s="107">
        <v>734196</v>
      </c>
      <c r="F51" s="107">
        <v>910325</v>
      </c>
      <c r="G51" s="107">
        <v>0</v>
      </c>
      <c r="H51" s="107">
        <v>55854</v>
      </c>
      <c r="I51" s="694">
        <v>3290092</v>
      </c>
      <c r="J51" s="694">
        <v>0</v>
      </c>
      <c r="K51" s="107">
        <v>599482</v>
      </c>
      <c r="L51" s="107">
        <v>302678</v>
      </c>
      <c r="M51" s="107">
        <v>224911</v>
      </c>
      <c r="N51" s="694">
        <v>1127071</v>
      </c>
      <c r="O51" s="694">
        <v>0</v>
      </c>
      <c r="P51" s="107">
        <v>0</v>
      </c>
      <c r="Q51" s="694">
        <v>559764.5</v>
      </c>
      <c r="R51" s="678">
        <v>0</v>
      </c>
      <c r="S51" s="678">
        <v>559764.5</v>
      </c>
      <c r="T51" s="678">
        <v>0</v>
      </c>
      <c r="U51" s="678">
        <v>0</v>
      </c>
      <c r="V51" s="678">
        <v>0</v>
      </c>
      <c r="W51" s="679">
        <v>0</v>
      </c>
      <c r="X51">
        <v>0</v>
      </c>
      <c r="Y51">
        <v>0</v>
      </c>
    </row>
    <row r="52" spans="1:25" s="1" customFormat="1">
      <c r="A52" s="182"/>
      <c r="B52" s="31" t="s">
        <v>16</v>
      </c>
      <c r="C52" s="694">
        <v>1574</v>
      </c>
      <c r="D52" s="107">
        <v>11680</v>
      </c>
      <c r="E52" s="107">
        <v>18482</v>
      </c>
      <c r="F52" s="107">
        <v>21545</v>
      </c>
      <c r="G52" s="107">
        <v>0</v>
      </c>
      <c r="H52" s="107">
        <v>2930</v>
      </c>
      <c r="I52" s="694">
        <v>56211</v>
      </c>
      <c r="J52" s="694">
        <v>0</v>
      </c>
      <c r="K52" s="107">
        <v>3695</v>
      </c>
      <c r="L52" s="107">
        <v>11909</v>
      </c>
      <c r="M52" s="107">
        <v>16419</v>
      </c>
      <c r="N52" s="694">
        <v>32023</v>
      </c>
      <c r="O52" s="694">
        <v>0</v>
      </c>
      <c r="P52" s="107">
        <v>0</v>
      </c>
      <c r="Q52" s="694">
        <v>71644</v>
      </c>
      <c r="R52" s="678">
        <v>0</v>
      </c>
      <c r="S52" s="678">
        <v>71644</v>
      </c>
      <c r="T52" s="678">
        <v>0</v>
      </c>
      <c r="U52" s="678">
        <v>0</v>
      </c>
      <c r="V52" s="678">
        <v>0</v>
      </c>
      <c r="W52" s="679">
        <v>0</v>
      </c>
      <c r="X52">
        <v>0</v>
      </c>
      <c r="Y52">
        <v>0</v>
      </c>
    </row>
    <row r="53" spans="1:25">
      <c r="A53" s="182"/>
      <c r="B53" s="223" t="s">
        <v>19</v>
      </c>
      <c r="C53" s="695">
        <v>2.1631665239673077E-3</v>
      </c>
      <c r="D53" s="697">
        <v>1.3548626577579806E-2</v>
      </c>
      <c r="E53" s="697">
        <v>2.5173114536172901E-2</v>
      </c>
      <c r="F53" s="697">
        <v>2.36673715431302E-2</v>
      </c>
      <c r="G53" s="697">
        <v>0</v>
      </c>
      <c r="H53" s="697">
        <v>5.2458194578723097E-2</v>
      </c>
      <c r="I53" s="695">
        <v>1.7084932579392916E-2</v>
      </c>
      <c r="J53" s="695">
        <v>0</v>
      </c>
      <c r="K53" s="697">
        <v>6.1636546218235078E-3</v>
      </c>
      <c r="L53" s="697">
        <v>3.9345443012045803E-2</v>
      </c>
      <c r="M53" s="697">
        <v>7.3002209762972906E-2</v>
      </c>
      <c r="N53" s="695">
        <v>2.8412584477819056E-2</v>
      </c>
      <c r="O53" s="695">
        <v>0</v>
      </c>
      <c r="P53" s="697">
        <v>0</v>
      </c>
      <c r="Q53" s="695">
        <v>0.12798953845769068</v>
      </c>
      <c r="R53" s="682">
        <v>0</v>
      </c>
      <c r="S53" s="682">
        <v>0.12798953845769068</v>
      </c>
      <c r="T53" s="682">
        <v>0</v>
      </c>
      <c r="U53" s="682">
        <v>0</v>
      </c>
      <c r="V53" s="682">
        <v>0</v>
      </c>
      <c r="W53" s="683">
        <v>0</v>
      </c>
      <c r="X53">
        <v>0</v>
      </c>
      <c r="Y53">
        <v>0</v>
      </c>
    </row>
    <row r="54" spans="1:25" s="1" customFormat="1">
      <c r="A54" s="185"/>
      <c r="B54" s="243" t="s">
        <v>982</v>
      </c>
      <c r="C54" s="696">
        <v>1.1331314805348583E-3</v>
      </c>
      <c r="D54" s="698">
        <v>2.9977963054476416E-3</v>
      </c>
      <c r="E54" s="698">
        <v>8.0602504245259957E-3</v>
      </c>
      <c r="F54" s="698">
        <v>4.8808780638812214E-3</v>
      </c>
      <c r="G54" s="698">
        <v>0</v>
      </c>
      <c r="H54" s="698">
        <v>8.1781436088802506E-3</v>
      </c>
      <c r="I54" s="696">
        <v>4.257636170169693E-3</v>
      </c>
      <c r="J54" s="696">
        <v>0</v>
      </c>
      <c r="K54" s="698">
        <v>3.5742574132720598E-4</v>
      </c>
      <c r="L54" s="698">
        <v>-9.3517710949447899E-3</v>
      </c>
      <c r="M54" s="698">
        <v>1.3498163731213077E-2</v>
      </c>
      <c r="N54" s="696">
        <v>5.9335941544648441E-6</v>
      </c>
      <c r="O54" s="696">
        <v>0</v>
      </c>
      <c r="P54" s="698">
        <v>0</v>
      </c>
      <c r="Q54" s="696">
        <v>-7.2693004567289388E-3</v>
      </c>
      <c r="R54" s="684">
        <v>0</v>
      </c>
      <c r="S54" s="684">
        <v>-7.2693004567289388E-3</v>
      </c>
      <c r="T54" s="684">
        <v>0</v>
      </c>
      <c r="U54" s="684">
        <v>0</v>
      </c>
      <c r="V54" s="684">
        <v>0</v>
      </c>
      <c r="W54" s="685">
        <v>0</v>
      </c>
      <c r="X54">
        <v>0</v>
      </c>
      <c r="Y54">
        <v>0</v>
      </c>
    </row>
    <row r="55" spans="1:25">
      <c r="A55" s="669" t="s">
        <v>30</v>
      </c>
      <c r="B55" s="667" t="s">
        <v>11</v>
      </c>
      <c r="C55" s="692">
        <v>0</v>
      </c>
      <c r="D55" s="693">
        <v>0</v>
      </c>
      <c r="E55" s="693">
        <v>0</v>
      </c>
      <c r="F55" s="693">
        <v>0</v>
      </c>
      <c r="G55" s="693">
        <v>0</v>
      </c>
      <c r="H55" s="693">
        <v>0</v>
      </c>
      <c r="I55" s="692">
        <v>0</v>
      </c>
      <c r="J55" s="692">
        <v>0</v>
      </c>
      <c r="K55" s="693">
        <v>0</v>
      </c>
      <c r="L55" s="693">
        <v>0</v>
      </c>
      <c r="M55" s="693">
        <v>0</v>
      </c>
      <c r="N55" s="692">
        <v>0</v>
      </c>
      <c r="O55" s="692">
        <v>0</v>
      </c>
      <c r="P55" s="693">
        <v>0</v>
      </c>
      <c r="Q55" s="692">
        <v>0</v>
      </c>
      <c r="R55" s="676">
        <v>0</v>
      </c>
      <c r="S55" s="676">
        <v>0</v>
      </c>
      <c r="T55" s="676">
        <v>0</v>
      </c>
      <c r="U55" s="676">
        <v>0</v>
      </c>
      <c r="V55" s="676">
        <v>0</v>
      </c>
      <c r="W55" s="677">
        <v>0</v>
      </c>
      <c r="X55">
        <v>0</v>
      </c>
      <c r="Y55">
        <v>0</v>
      </c>
    </row>
    <row r="56" spans="1:25" s="1" customFormat="1">
      <c r="A56" s="182"/>
      <c r="B56" s="31" t="s">
        <v>15</v>
      </c>
      <c r="C56" s="694">
        <v>0</v>
      </c>
      <c r="D56" s="107">
        <v>0</v>
      </c>
      <c r="E56" s="107">
        <v>0</v>
      </c>
      <c r="F56" s="107">
        <v>0</v>
      </c>
      <c r="G56" s="107">
        <v>0</v>
      </c>
      <c r="H56" s="107">
        <v>0</v>
      </c>
      <c r="I56" s="694">
        <v>0</v>
      </c>
      <c r="J56" s="694">
        <v>0</v>
      </c>
      <c r="K56" s="107">
        <v>0</v>
      </c>
      <c r="L56" s="107">
        <v>0</v>
      </c>
      <c r="M56" s="107">
        <v>0</v>
      </c>
      <c r="N56" s="694">
        <v>0</v>
      </c>
      <c r="O56" s="694">
        <v>0</v>
      </c>
      <c r="P56" s="107">
        <v>0</v>
      </c>
      <c r="Q56" s="694">
        <v>0</v>
      </c>
      <c r="R56" s="678">
        <v>0</v>
      </c>
      <c r="S56" s="678">
        <v>0</v>
      </c>
      <c r="T56" s="678">
        <v>0</v>
      </c>
      <c r="U56" s="678">
        <v>0</v>
      </c>
      <c r="V56" s="678">
        <v>0</v>
      </c>
      <c r="W56" s="679">
        <v>0</v>
      </c>
      <c r="X56">
        <v>0</v>
      </c>
      <c r="Y56">
        <v>0</v>
      </c>
    </row>
    <row r="57" spans="1:25">
      <c r="A57" s="182"/>
      <c r="B57" s="217" t="s">
        <v>17</v>
      </c>
      <c r="C57" s="695">
        <v>0</v>
      </c>
      <c r="D57" s="697">
        <v>0</v>
      </c>
      <c r="E57" s="697">
        <v>0</v>
      </c>
      <c r="F57" s="697">
        <v>0</v>
      </c>
      <c r="G57" s="697">
        <v>0</v>
      </c>
      <c r="H57" s="697">
        <v>0</v>
      </c>
      <c r="I57" s="695">
        <v>0</v>
      </c>
      <c r="J57" s="695">
        <v>0</v>
      </c>
      <c r="K57" s="697">
        <v>0</v>
      </c>
      <c r="L57" s="697">
        <v>0</v>
      </c>
      <c r="M57" s="697">
        <v>0</v>
      </c>
      <c r="N57" s="695">
        <v>0</v>
      </c>
      <c r="O57" s="695">
        <v>0</v>
      </c>
      <c r="P57" s="697">
        <v>0</v>
      </c>
      <c r="Q57" s="695">
        <v>0</v>
      </c>
      <c r="R57" s="680">
        <v>0</v>
      </c>
      <c r="S57" s="680">
        <v>0</v>
      </c>
      <c r="T57" s="680">
        <v>0</v>
      </c>
      <c r="U57" s="680">
        <v>0</v>
      </c>
      <c r="V57" s="680">
        <v>0</v>
      </c>
      <c r="W57" s="681">
        <v>0</v>
      </c>
      <c r="X57">
        <v>0</v>
      </c>
      <c r="Y57">
        <v>0</v>
      </c>
    </row>
    <row r="58" spans="1:25" s="1" customFormat="1">
      <c r="A58" s="182"/>
      <c r="B58" s="31" t="s">
        <v>12</v>
      </c>
      <c r="C58" s="694">
        <v>0</v>
      </c>
      <c r="D58" s="107">
        <v>0</v>
      </c>
      <c r="E58" s="107">
        <v>0</v>
      </c>
      <c r="F58" s="107">
        <v>0</v>
      </c>
      <c r="G58" s="107">
        <v>0</v>
      </c>
      <c r="H58" s="107">
        <v>0</v>
      </c>
      <c r="I58" s="694">
        <v>0</v>
      </c>
      <c r="J58" s="694">
        <v>0</v>
      </c>
      <c r="K58" s="107">
        <v>0</v>
      </c>
      <c r="L58" s="107">
        <v>0</v>
      </c>
      <c r="M58" s="107">
        <v>0</v>
      </c>
      <c r="N58" s="694">
        <v>0</v>
      </c>
      <c r="O58" s="694">
        <v>0</v>
      </c>
      <c r="P58" s="107">
        <v>0</v>
      </c>
      <c r="Q58" s="694">
        <v>0</v>
      </c>
      <c r="R58" s="678">
        <v>0</v>
      </c>
      <c r="S58" s="678">
        <v>0</v>
      </c>
      <c r="T58" s="678">
        <v>0</v>
      </c>
      <c r="U58" s="678">
        <v>0</v>
      </c>
      <c r="V58" s="678">
        <v>0</v>
      </c>
      <c r="W58" s="679">
        <v>0</v>
      </c>
      <c r="X58">
        <v>0</v>
      </c>
      <c r="Y58">
        <v>0</v>
      </c>
    </row>
    <row r="59" spans="1:25">
      <c r="A59" s="182"/>
      <c r="B59" s="31" t="s">
        <v>16</v>
      </c>
      <c r="C59" s="694">
        <v>0</v>
      </c>
      <c r="D59" s="107">
        <v>0</v>
      </c>
      <c r="E59" s="107">
        <v>0</v>
      </c>
      <c r="F59" s="107">
        <v>0</v>
      </c>
      <c r="G59" s="107">
        <v>0</v>
      </c>
      <c r="H59" s="107">
        <v>0</v>
      </c>
      <c r="I59" s="694">
        <v>0</v>
      </c>
      <c r="J59" s="694">
        <v>0</v>
      </c>
      <c r="K59" s="107">
        <v>0</v>
      </c>
      <c r="L59" s="107">
        <v>0</v>
      </c>
      <c r="M59" s="107">
        <v>0</v>
      </c>
      <c r="N59" s="694">
        <v>0</v>
      </c>
      <c r="O59" s="694">
        <v>0</v>
      </c>
      <c r="P59" s="107">
        <v>0</v>
      </c>
      <c r="Q59" s="694">
        <v>0</v>
      </c>
      <c r="R59" s="678">
        <v>0</v>
      </c>
      <c r="S59" s="678">
        <v>0</v>
      </c>
      <c r="T59" s="678">
        <v>0</v>
      </c>
      <c r="U59" s="678">
        <v>0</v>
      </c>
      <c r="V59" s="678">
        <v>0</v>
      </c>
      <c r="W59" s="679">
        <v>0</v>
      </c>
      <c r="X59">
        <v>0</v>
      </c>
      <c r="Y59">
        <v>0</v>
      </c>
    </row>
    <row r="60" spans="1:25" s="1" customFormat="1">
      <c r="A60" s="182"/>
      <c r="B60" s="223" t="s">
        <v>19</v>
      </c>
      <c r="C60" s="695">
        <v>0</v>
      </c>
      <c r="D60" s="697">
        <v>0</v>
      </c>
      <c r="E60" s="697">
        <v>0</v>
      </c>
      <c r="F60" s="697">
        <v>0</v>
      </c>
      <c r="G60" s="697">
        <v>0</v>
      </c>
      <c r="H60" s="697">
        <v>0</v>
      </c>
      <c r="I60" s="695">
        <v>0</v>
      </c>
      <c r="J60" s="695">
        <v>0</v>
      </c>
      <c r="K60" s="697">
        <v>0</v>
      </c>
      <c r="L60" s="697">
        <v>0</v>
      </c>
      <c r="M60" s="697">
        <v>0</v>
      </c>
      <c r="N60" s="695">
        <v>0</v>
      </c>
      <c r="O60" s="695">
        <v>0</v>
      </c>
      <c r="P60" s="697">
        <v>0</v>
      </c>
      <c r="Q60" s="695">
        <v>0</v>
      </c>
      <c r="R60" s="682">
        <v>0</v>
      </c>
      <c r="S60" s="682">
        <v>0</v>
      </c>
      <c r="T60" s="682">
        <v>0</v>
      </c>
      <c r="U60" s="682">
        <v>0</v>
      </c>
      <c r="V60" s="682">
        <v>0</v>
      </c>
      <c r="W60" s="683">
        <v>0</v>
      </c>
      <c r="X60">
        <v>0</v>
      </c>
      <c r="Y60">
        <v>0</v>
      </c>
    </row>
    <row r="61" spans="1:25">
      <c r="A61" s="185"/>
      <c r="B61" s="243" t="s">
        <v>982</v>
      </c>
      <c r="C61" s="696">
        <v>0</v>
      </c>
      <c r="D61" s="698">
        <v>0</v>
      </c>
      <c r="E61" s="698">
        <v>0</v>
      </c>
      <c r="F61" s="698">
        <v>0</v>
      </c>
      <c r="G61" s="698">
        <v>0</v>
      </c>
      <c r="H61" s="698">
        <v>0</v>
      </c>
      <c r="I61" s="696">
        <v>0</v>
      </c>
      <c r="J61" s="696">
        <v>0</v>
      </c>
      <c r="K61" s="698">
        <v>0</v>
      </c>
      <c r="L61" s="698">
        <v>0</v>
      </c>
      <c r="M61" s="698">
        <v>0</v>
      </c>
      <c r="N61" s="696">
        <v>0</v>
      </c>
      <c r="O61" s="696">
        <v>0</v>
      </c>
      <c r="P61" s="698">
        <v>0</v>
      </c>
      <c r="Q61" s="696">
        <v>0</v>
      </c>
      <c r="R61" s="684">
        <v>0</v>
      </c>
      <c r="S61" s="684">
        <v>0</v>
      </c>
      <c r="T61" s="684">
        <v>0</v>
      </c>
      <c r="U61" s="684">
        <v>0</v>
      </c>
      <c r="V61" s="684">
        <v>0</v>
      </c>
      <c r="W61" s="685">
        <v>0</v>
      </c>
      <c r="X61">
        <v>0</v>
      </c>
      <c r="Y61">
        <v>0</v>
      </c>
    </row>
    <row r="62" spans="1:25" s="1" customFormat="1">
      <c r="A62" s="669" t="s">
        <v>162</v>
      </c>
      <c r="B62" s="667" t="s">
        <v>11</v>
      </c>
      <c r="C62" s="692">
        <v>0</v>
      </c>
      <c r="D62" s="693">
        <v>0</v>
      </c>
      <c r="E62" s="693">
        <v>0</v>
      </c>
      <c r="F62" s="693">
        <v>0</v>
      </c>
      <c r="G62" s="693">
        <v>0</v>
      </c>
      <c r="H62" s="693">
        <v>0</v>
      </c>
      <c r="I62" s="692">
        <v>0</v>
      </c>
      <c r="J62" s="692">
        <v>0</v>
      </c>
      <c r="K62" s="693">
        <v>1046045</v>
      </c>
      <c r="L62" s="693">
        <v>1051304</v>
      </c>
      <c r="M62" s="693">
        <v>119975</v>
      </c>
      <c r="N62" s="692">
        <v>2217324</v>
      </c>
      <c r="O62" s="692">
        <v>0</v>
      </c>
      <c r="P62" s="693">
        <v>0</v>
      </c>
      <c r="Q62" s="692">
        <v>0</v>
      </c>
      <c r="R62" s="676">
        <v>0</v>
      </c>
      <c r="S62" s="676">
        <v>0</v>
      </c>
      <c r="T62" s="676">
        <v>0</v>
      </c>
      <c r="U62" s="676">
        <v>0</v>
      </c>
      <c r="V62" s="676">
        <v>0</v>
      </c>
      <c r="W62" s="677">
        <v>0</v>
      </c>
      <c r="X62">
        <v>0</v>
      </c>
      <c r="Y62">
        <v>0</v>
      </c>
    </row>
    <row r="63" spans="1:25">
      <c r="A63" s="182"/>
      <c r="B63" s="31" t="s">
        <v>15</v>
      </c>
      <c r="C63" s="694">
        <v>0</v>
      </c>
      <c r="D63" s="107">
        <v>0</v>
      </c>
      <c r="E63" s="107">
        <v>0</v>
      </c>
      <c r="F63" s="107">
        <v>0</v>
      </c>
      <c r="G63" s="107">
        <v>0</v>
      </c>
      <c r="H63" s="107">
        <v>0</v>
      </c>
      <c r="I63" s="694">
        <v>0</v>
      </c>
      <c r="J63" s="694">
        <v>0</v>
      </c>
      <c r="K63" s="107">
        <v>6830</v>
      </c>
      <c r="L63" s="107">
        <v>8105</v>
      </c>
      <c r="M63" s="107">
        <v>1646</v>
      </c>
      <c r="N63" s="694">
        <v>16581</v>
      </c>
      <c r="O63" s="694">
        <v>0</v>
      </c>
      <c r="P63" s="107">
        <v>0</v>
      </c>
      <c r="Q63" s="694">
        <v>0</v>
      </c>
      <c r="R63" s="678">
        <v>0</v>
      </c>
      <c r="S63" s="678">
        <v>0</v>
      </c>
      <c r="T63" s="678">
        <v>0</v>
      </c>
      <c r="U63" s="678">
        <v>0</v>
      </c>
      <c r="V63" s="678">
        <v>0</v>
      </c>
      <c r="W63" s="679">
        <v>0</v>
      </c>
      <c r="X63">
        <v>0</v>
      </c>
      <c r="Y63">
        <v>0</v>
      </c>
    </row>
    <row r="64" spans="1:25" s="1" customFormat="1">
      <c r="A64" s="182"/>
      <c r="B64" s="217" t="s">
        <v>17</v>
      </c>
      <c r="C64" s="695">
        <v>0</v>
      </c>
      <c r="D64" s="697">
        <v>0</v>
      </c>
      <c r="E64" s="697">
        <v>0</v>
      </c>
      <c r="F64" s="697">
        <v>0</v>
      </c>
      <c r="G64" s="697">
        <v>0</v>
      </c>
      <c r="H64" s="697">
        <v>0</v>
      </c>
      <c r="I64" s="695">
        <v>0</v>
      </c>
      <c r="J64" s="695">
        <v>0</v>
      </c>
      <c r="K64" s="697">
        <v>6.529355811652462E-3</v>
      </c>
      <c r="L64" s="697">
        <v>7.7094731875841814E-3</v>
      </c>
      <c r="M64" s="697">
        <v>1.3719524901021046E-2</v>
      </c>
      <c r="N64" s="695">
        <v>7.4779328596091509E-3</v>
      </c>
      <c r="O64" s="695">
        <v>0</v>
      </c>
      <c r="P64" s="697">
        <v>0</v>
      </c>
      <c r="Q64" s="695">
        <v>0</v>
      </c>
      <c r="R64" s="680">
        <v>0</v>
      </c>
      <c r="S64" s="680">
        <v>0</v>
      </c>
      <c r="T64" s="680">
        <v>0</v>
      </c>
      <c r="U64" s="680">
        <v>0</v>
      </c>
      <c r="V64" s="680">
        <v>0</v>
      </c>
      <c r="W64" s="681">
        <v>0</v>
      </c>
      <c r="X64">
        <v>0</v>
      </c>
      <c r="Y64">
        <v>0</v>
      </c>
    </row>
    <row r="65" spans="1:25">
      <c r="A65" s="182"/>
      <c r="B65" s="31" t="s">
        <v>12</v>
      </c>
      <c r="C65" s="694">
        <v>0</v>
      </c>
      <c r="D65" s="107">
        <v>0</v>
      </c>
      <c r="E65" s="107">
        <v>0</v>
      </c>
      <c r="F65" s="107">
        <v>0</v>
      </c>
      <c r="G65" s="107">
        <v>0</v>
      </c>
      <c r="H65" s="107">
        <v>0</v>
      </c>
      <c r="I65" s="694">
        <v>0</v>
      </c>
      <c r="J65" s="694">
        <v>0</v>
      </c>
      <c r="K65" s="107">
        <v>1012727</v>
      </c>
      <c r="L65" s="107">
        <v>1021317.5</v>
      </c>
      <c r="M65" s="107">
        <v>129482</v>
      </c>
      <c r="N65" s="694">
        <v>2163526.5</v>
      </c>
      <c r="O65" s="694">
        <v>0</v>
      </c>
      <c r="P65" s="107">
        <v>0</v>
      </c>
      <c r="Q65" s="694">
        <v>0</v>
      </c>
      <c r="R65" s="678">
        <v>0</v>
      </c>
      <c r="S65" s="678">
        <v>0</v>
      </c>
      <c r="T65" s="678">
        <v>0</v>
      </c>
      <c r="U65" s="678">
        <v>0</v>
      </c>
      <c r="V65" s="678">
        <v>0</v>
      </c>
      <c r="W65" s="679">
        <v>0</v>
      </c>
      <c r="X65">
        <v>0</v>
      </c>
      <c r="Y65">
        <v>0</v>
      </c>
    </row>
    <row r="66" spans="1:25" s="1" customFormat="1">
      <c r="A66" s="182"/>
      <c r="B66" s="31" t="s">
        <v>16</v>
      </c>
      <c r="C66" s="694">
        <v>0</v>
      </c>
      <c r="D66" s="107">
        <v>0</v>
      </c>
      <c r="E66" s="107">
        <v>0</v>
      </c>
      <c r="F66" s="107">
        <v>0</v>
      </c>
      <c r="G66" s="107">
        <v>0</v>
      </c>
      <c r="H66" s="107">
        <v>0</v>
      </c>
      <c r="I66" s="694">
        <v>0</v>
      </c>
      <c r="J66" s="694">
        <v>0</v>
      </c>
      <c r="K66" s="107">
        <v>7761</v>
      </c>
      <c r="L66" s="107">
        <v>8539</v>
      </c>
      <c r="M66" s="107">
        <v>1407</v>
      </c>
      <c r="N66" s="694">
        <v>17707</v>
      </c>
      <c r="O66" s="694">
        <v>0</v>
      </c>
      <c r="P66" s="107">
        <v>0</v>
      </c>
      <c r="Q66" s="694">
        <v>0</v>
      </c>
      <c r="R66" s="678">
        <v>0</v>
      </c>
      <c r="S66" s="678">
        <v>0</v>
      </c>
      <c r="T66" s="678">
        <v>0</v>
      </c>
      <c r="U66" s="678">
        <v>0</v>
      </c>
      <c r="V66" s="678">
        <v>0</v>
      </c>
      <c r="W66" s="679">
        <v>0</v>
      </c>
      <c r="X66">
        <v>0</v>
      </c>
      <c r="Y66">
        <v>0</v>
      </c>
    </row>
    <row r="67" spans="1:25">
      <c r="A67" s="182"/>
      <c r="B67" s="223" t="s">
        <v>19</v>
      </c>
      <c r="C67" s="695">
        <v>0</v>
      </c>
      <c r="D67" s="697">
        <v>0</v>
      </c>
      <c r="E67" s="697">
        <v>0</v>
      </c>
      <c r="F67" s="697">
        <v>0</v>
      </c>
      <c r="G67" s="697">
        <v>0</v>
      </c>
      <c r="H67" s="697">
        <v>0</v>
      </c>
      <c r="I67" s="695">
        <v>0</v>
      </c>
      <c r="J67" s="695">
        <v>0</v>
      </c>
      <c r="K67" s="697">
        <v>7.6634670547936412E-3</v>
      </c>
      <c r="L67" s="697">
        <v>8.3607693004379147E-3</v>
      </c>
      <c r="M67" s="697">
        <v>1.0866375249069369E-2</v>
      </c>
      <c r="N67" s="695">
        <v>8.1843231409460433E-3</v>
      </c>
      <c r="O67" s="695">
        <v>0</v>
      </c>
      <c r="P67" s="697">
        <v>0</v>
      </c>
      <c r="Q67" s="695">
        <v>0</v>
      </c>
      <c r="R67" s="682">
        <v>0</v>
      </c>
      <c r="S67" s="682">
        <v>0</v>
      </c>
      <c r="T67" s="682">
        <v>0</v>
      </c>
      <c r="U67" s="682">
        <v>0</v>
      </c>
      <c r="V67" s="682">
        <v>0</v>
      </c>
      <c r="W67" s="683">
        <v>0</v>
      </c>
      <c r="X67">
        <v>0</v>
      </c>
      <c r="Y67">
        <v>0</v>
      </c>
    </row>
    <row r="68" spans="1:25" s="1" customFormat="1">
      <c r="A68" s="182"/>
      <c r="B68" s="243" t="s">
        <v>982</v>
      </c>
      <c r="C68" s="696">
        <v>0</v>
      </c>
      <c r="D68" s="698">
        <v>0</v>
      </c>
      <c r="E68" s="698">
        <v>0</v>
      </c>
      <c r="F68" s="698">
        <v>0</v>
      </c>
      <c r="G68" s="698">
        <v>0</v>
      </c>
      <c r="H68" s="698">
        <v>0</v>
      </c>
      <c r="I68" s="696">
        <v>0</v>
      </c>
      <c r="J68" s="696">
        <v>0</v>
      </c>
      <c r="K68" s="698">
        <v>1.1341112431411792E-3</v>
      </c>
      <c r="L68" s="698">
        <v>6.512961128537333E-4</v>
      </c>
      <c r="M68" s="698">
        <v>-2.8531496519516777E-3</v>
      </c>
      <c r="N68" s="696">
        <v>7.0639028133689247E-4</v>
      </c>
      <c r="O68" s="696">
        <v>0</v>
      </c>
      <c r="P68" s="698">
        <v>0</v>
      </c>
      <c r="Q68" s="696">
        <v>0</v>
      </c>
      <c r="R68" s="684">
        <v>0</v>
      </c>
      <c r="S68" s="684">
        <v>0</v>
      </c>
      <c r="T68" s="684">
        <v>0</v>
      </c>
      <c r="U68" s="684">
        <v>0</v>
      </c>
      <c r="V68" s="684">
        <v>0</v>
      </c>
      <c r="W68" s="685">
        <v>0</v>
      </c>
      <c r="X68">
        <v>0</v>
      </c>
      <c r="Y68">
        <v>0</v>
      </c>
    </row>
    <row r="69" spans="1:25">
      <c r="A69" s="669" t="s">
        <v>159</v>
      </c>
      <c r="B69" s="667" t="s">
        <v>11</v>
      </c>
      <c r="C69" s="692">
        <v>1649032</v>
      </c>
      <c r="D69" s="693">
        <v>550912</v>
      </c>
      <c r="E69" s="693">
        <v>2064574</v>
      </c>
      <c r="F69" s="693">
        <v>144829</v>
      </c>
      <c r="G69" s="693">
        <v>342849</v>
      </c>
      <c r="H69" s="693">
        <v>202516</v>
      </c>
      <c r="I69" s="692">
        <v>4954712</v>
      </c>
      <c r="J69" s="692">
        <v>0</v>
      </c>
      <c r="K69" s="693">
        <v>2426176</v>
      </c>
      <c r="L69" s="693">
        <v>2128322</v>
      </c>
      <c r="M69" s="693">
        <v>885250</v>
      </c>
      <c r="N69" s="692">
        <v>5439748</v>
      </c>
      <c r="O69" s="692">
        <v>0</v>
      </c>
      <c r="P69" s="693">
        <v>0</v>
      </c>
      <c r="Q69" s="692">
        <v>0</v>
      </c>
      <c r="R69" s="676">
        <v>0</v>
      </c>
      <c r="S69" s="676">
        <v>0</v>
      </c>
      <c r="T69" s="676">
        <v>0</v>
      </c>
      <c r="U69" s="676">
        <v>0</v>
      </c>
      <c r="V69" s="676">
        <v>0</v>
      </c>
      <c r="W69" s="677">
        <v>0</v>
      </c>
      <c r="X69">
        <v>0</v>
      </c>
      <c r="Y69">
        <v>0</v>
      </c>
    </row>
    <row r="70" spans="1:25" s="1" customFormat="1">
      <c r="A70" s="182"/>
      <c r="B70" s="31" t="s">
        <v>15</v>
      </c>
      <c r="C70" s="694">
        <v>7534</v>
      </c>
      <c r="D70" s="107">
        <v>0</v>
      </c>
      <c r="E70" s="107">
        <v>10114</v>
      </c>
      <c r="F70" s="107">
        <v>3887</v>
      </c>
      <c r="G70" s="107">
        <v>0</v>
      </c>
      <c r="H70" s="107">
        <v>251</v>
      </c>
      <c r="I70" s="694">
        <v>21786</v>
      </c>
      <c r="J70" s="694">
        <v>0</v>
      </c>
      <c r="K70" s="107">
        <v>58978</v>
      </c>
      <c r="L70" s="107">
        <v>136020</v>
      </c>
      <c r="M70" s="107">
        <v>66865</v>
      </c>
      <c r="N70" s="694">
        <v>261863</v>
      </c>
      <c r="O70" s="694">
        <v>0</v>
      </c>
      <c r="P70" s="107">
        <v>0</v>
      </c>
      <c r="Q70" s="694">
        <v>0</v>
      </c>
      <c r="R70" s="678">
        <v>0</v>
      </c>
      <c r="S70" s="678">
        <v>0</v>
      </c>
      <c r="T70" s="678">
        <v>0</v>
      </c>
      <c r="U70" s="678">
        <v>0</v>
      </c>
      <c r="V70" s="678">
        <v>0</v>
      </c>
      <c r="W70" s="679">
        <v>0</v>
      </c>
      <c r="X70">
        <v>0</v>
      </c>
      <c r="Y70">
        <v>0</v>
      </c>
    </row>
    <row r="71" spans="1:25">
      <c r="A71" s="182"/>
      <c r="B71" s="217" t="s">
        <v>17</v>
      </c>
      <c r="C71" s="695">
        <v>4.5687409340752633E-3</v>
      </c>
      <c r="D71" s="697">
        <v>0</v>
      </c>
      <c r="E71" s="697">
        <v>4.8988314296314886E-3</v>
      </c>
      <c r="F71" s="697">
        <v>2.6838547528464603E-2</v>
      </c>
      <c r="G71" s="697">
        <v>0</v>
      </c>
      <c r="H71" s="697">
        <v>1.2394082442868711E-3</v>
      </c>
      <c r="I71" s="695">
        <v>4.397026507292452E-3</v>
      </c>
      <c r="J71" s="695">
        <v>0</v>
      </c>
      <c r="K71" s="697">
        <v>2.4309036112796435E-2</v>
      </c>
      <c r="L71" s="697">
        <v>6.3909502415517946E-2</v>
      </c>
      <c r="M71" s="697">
        <v>7.5532335498446762E-2</v>
      </c>
      <c r="N71" s="695">
        <v>4.8138810841972829E-2</v>
      </c>
      <c r="O71" s="695">
        <v>0</v>
      </c>
      <c r="P71" s="697">
        <v>0</v>
      </c>
      <c r="Q71" s="695">
        <v>0</v>
      </c>
      <c r="R71" s="680">
        <v>0</v>
      </c>
      <c r="S71" s="680">
        <v>0</v>
      </c>
      <c r="T71" s="680">
        <v>0</v>
      </c>
      <c r="U71" s="680">
        <v>0</v>
      </c>
      <c r="V71" s="680">
        <v>0</v>
      </c>
      <c r="W71" s="681">
        <v>0</v>
      </c>
      <c r="X71">
        <v>0</v>
      </c>
      <c r="Y71">
        <v>0</v>
      </c>
    </row>
    <row r="72" spans="1:25" s="1" customFormat="1">
      <c r="A72" s="182"/>
      <c r="B72" s="31" t="s">
        <v>12</v>
      </c>
      <c r="C72" s="694">
        <v>1663617</v>
      </c>
      <c r="D72" s="107">
        <v>566448</v>
      </c>
      <c r="E72" s="107">
        <v>2089313</v>
      </c>
      <c r="F72" s="107">
        <v>148382</v>
      </c>
      <c r="G72" s="107">
        <v>328917</v>
      </c>
      <c r="H72" s="107">
        <v>196642</v>
      </c>
      <c r="I72" s="694">
        <v>4993319</v>
      </c>
      <c r="J72" s="694">
        <v>0</v>
      </c>
      <c r="K72" s="107">
        <v>2511660</v>
      </c>
      <c r="L72" s="107">
        <v>2067397</v>
      </c>
      <c r="M72" s="107">
        <v>852525</v>
      </c>
      <c r="N72" s="694">
        <v>5431582</v>
      </c>
      <c r="O72" s="694">
        <v>0</v>
      </c>
      <c r="P72" s="107">
        <v>0</v>
      </c>
      <c r="Q72" s="694">
        <v>0</v>
      </c>
      <c r="R72" s="678">
        <v>0</v>
      </c>
      <c r="S72" s="678">
        <v>0</v>
      </c>
      <c r="T72" s="678">
        <v>0</v>
      </c>
      <c r="U72" s="678">
        <v>0</v>
      </c>
      <c r="V72" s="678">
        <v>0</v>
      </c>
      <c r="W72" s="679">
        <v>0</v>
      </c>
      <c r="X72">
        <v>0</v>
      </c>
      <c r="Y72">
        <v>0</v>
      </c>
    </row>
    <row r="73" spans="1:25">
      <c r="A73" s="182"/>
      <c r="B73" s="31" t="s">
        <v>16</v>
      </c>
      <c r="C73" s="694">
        <v>294</v>
      </c>
      <c r="D73" s="107">
        <v>0</v>
      </c>
      <c r="E73" s="107">
        <v>6882</v>
      </c>
      <c r="F73" s="107">
        <v>2856</v>
      </c>
      <c r="G73" s="107">
        <v>0</v>
      </c>
      <c r="H73" s="107">
        <v>0</v>
      </c>
      <c r="I73" s="694">
        <v>10032</v>
      </c>
      <c r="J73" s="694">
        <v>0</v>
      </c>
      <c r="K73" s="107">
        <v>59573</v>
      </c>
      <c r="L73" s="107">
        <v>133123</v>
      </c>
      <c r="M73" s="107">
        <v>69202</v>
      </c>
      <c r="N73" s="694">
        <v>261898</v>
      </c>
      <c r="O73" s="694">
        <v>0</v>
      </c>
      <c r="P73" s="107">
        <v>0</v>
      </c>
      <c r="Q73" s="694">
        <v>0</v>
      </c>
      <c r="R73" s="678">
        <v>0</v>
      </c>
      <c r="S73" s="678">
        <v>0</v>
      </c>
      <c r="T73" s="678">
        <v>0</v>
      </c>
      <c r="U73" s="678">
        <v>0</v>
      </c>
      <c r="V73" s="678">
        <v>0</v>
      </c>
      <c r="W73" s="679">
        <v>0</v>
      </c>
      <c r="X73">
        <v>0</v>
      </c>
      <c r="Y73">
        <v>0</v>
      </c>
    </row>
    <row r="74" spans="1:25" s="1" customFormat="1">
      <c r="A74" s="182"/>
      <c r="B74" s="223" t="s">
        <v>19</v>
      </c>
      <c r="C74" s="695">
        <v>1.7672336841953405E-4</v>
      </c>
      <c r="D74" s="697">
        <v>0</v>
      </c>
      <c r="E74" s="697">
        <v>3.2939057001033353E-3</v>
      </c>
      <c r="F74" s="697">
        <v>1.9247617635562264E-2</v>
      </c>
      <c r="G74" s="697">
        <v>0</v>
      </c>
      <c r="H74" s="697">
        <v>0</v>
      </c>
      <c r="I74" s="695">
        <v>2.0090845387606918E-3</v>
      </c>
      <c r="J74" s="695">
        <v>0</v>
      </c>
      <c r="K74" s="697">
        <v>2.3718576558929155E-2</v>
      </c>
      <c r="L74" s="697">
        <v>6.4391599678242734E-2</v>
      </c>
      <c r="M74" s="697">
        <v>8.1172986129439018E-2</v>
      </c>
      <c r="N74" s="695">
        <v>4.8217627939705229E-2</v>
      </c>
      <c r="O74" s="695">
        <v>0</v>
      </c>
      <c r="P74" s="697">
        <v>0</v>
      </c>
      <c r="Q74" s="695">
        <v>0</v>
      </c>
      <c r="R74" s="682">
        <v>0</v>
      </c>
      <c r="S74" s="682">
        <v>0</v>
      </c>
      <c r="T74" s="682">
        <v>0</v>
      </c>
      <c r="U74" s="682">
        <v>0</v>
      </c>
      <c r="V74" s="682">
        <v>0</v>
      </c>
      <c r="W74" s="683">
        <v>0</v>
      </c>
      <c r="X74">
        <v>0</v>
      </c>
      <c r="Y74">
        <v>0</v>
      </c>
    </row>
    <row r="75" spans="1:25">
      <c r="A75" s="182"/>
      <c r="B75" s="243" t="s">
        <v>982</v>
      </c>
      <c r="C75" s="696">
        <v>-4.3920175656557295E-3</v>
      </c>
      <c r="D75" s="698">
        <v>0</v>
      </c>
      <c r="E75" s="698">
        <v>-1.6049257295281533E-3</v>
      </c>
      <c r="F75" s="698">
        <v>-7.5909298929023386E-3</v>
      </c>
      <c r="G75" s="698">
        <v>0</v>
      </c>
      <c r="H75" s="698">
        <v>-1.2394082442868711E-3</v>
      </c>
      <c r="I75" s="696">
        <v>-2.3879419685317602E-3</v>
      </c>
      <c r="J75" s="696">
        <v>0</v>
      </c>
      <c r="K75" s="698">
        <v>-5.9045955386727994E-4</v>
      </c>
      <c r="L75" s="698">
        <v>4.8209726272478715E-4</v>
      </c>
      <c r="M75" s="698">
        <v>5.6406506309922555E-3</v>
      </c>
      <c r="N75" s="696">
        <v>7.8817097732400421E-5</v>
      </c>
      <c r="O75" s="696">
        <v>0</v>
      </c>
      <c r="P75" s="698">
        <v>0</v>
      </c>
      <c r="Q75" s="696">
        <v>0</v>
      </c>
      <c r="R75" s="684">
        <v>0</v>
      </c>
      <c r="S75" s="684">
        <v>0</v>
      </c>
      <c r="T75" s="684">
        <v>0</v>
      </c>
      <c r="U75" s="684">
        <v>0</v>
      </c>
      <c r="V75" s="684">
        <v>0</v>
      </c>
      <c r="W75" s="685">
        <v>0</v>
      </c>
      <c r="X75">
        <v>0</v>
      </c>
      <c r="Y75">
        <v>0</v>
      </c>
    </row>
    <row r="76" spans="1:25" s="1" customFormat="1">
      <c r="A76" s="669" t="s">
        <v>164</v>
      </c>
      <c r="B76" s="667" t="s">
        <v>11</v>
      </c>
      <c r="C76" s="692">
        <v>1072747</v>
      </c>
      <c r="D76" s="693">
        <v>0</v>
      </c>
      <c r="E76" s="693">
        <v>570594</v>
      </c>
      <c r="F76" s="693">
        <v>0</v>
      </c>
      <c r="G76" s="693">
        <v>584608</v>
      </c>
      <c r="H76" s="693">
        <v>168945</v>
      </c>
      <c r="I76" s="692">
        <v>2396894</v>
      </c>
      <c r="J76" s="692">
        <v>256386</v>
      </c>
      <c r="K76" s="693">
        <v>866056</v>
      </c>
      <c r="L76" s="693">
        <v>112504</v>
      </c>
      <c r="M76" s="693">
        <v>445740</v>
      </c>
      <c r="N76" s="692">
        <v>1680686</v>
      </c>
      <c r="O76" s="692">
        <v>0</v>
      </c>
      <c r="P76" s="693">
        <v>0</v>
      </c>
      <c r="Q76" s="692">
        <v>0</v>
      </c>
      <c r="R76" s="676">
        <v>0</v>
      </c>
      <c r="S76" s="676">
        <v>0</v>
      </c>
      <c r="T76" s="676">
        <v>0</v>
      </c>
      <c r="U76" s="676">
        <v>0</v>
      </c>
      <c r="V76" s="676">
        <v>0</v>
      </c>
      <c r="W76" s="677">
        <v>0</v>
      </c>
      <c r="X76">
        <v>0</v>
      </c>
      <c r="Y76">
        <v>0</v>
      </c>
    </row>
    <row r="77" spans="1:25">
      <c r="A77" s="182"/>
      <c r="B77" s="31" t="s">
        <v>15</v>
      </c>
      <c r="C77" s="694">
        <v>990</v>
      </c>
      <c r="D77" s="107">
        <v>0</v>
      </c>
      <c r="E77" s="107">
        <v>1483</v>
      </c>
      <c r="F77" s="107">
        <v>0</v>
      </c>
      <c r="G77" s="107">
        <v>2831</v>
      </c>
      <c r="H77" s="107">
        <v>2063</v>
      </c>
      <c r="I77" s="694">
        <v>7367</v>
      </c>
      <c r="J77" s="694">
        <v>1701</v>
      </c>
      <c r="K77" s="107">
        <v>10389</v>
      </c>
      <c r="L77" s="107">
        <v>3103</v>
      </c>
      <c r="M77" s="107">
        <v>11638</v>
      </c>
      <c r="N77" s="694">
        <v>26831</v>
      </c>
      <c r="O77" s="694">
        <v>0</v>
      </c>
      <c r="P77" s="107">
        <v>0</v>
      </c>
      <c r="Q77" s="694">
        <v>0</v>
      </c>
      <c r="R77" s="678">
        <v>0</v>
      </c>
      <c r="S77" s="678">
        <v>0</v>
      </c>
      <c r="T77" s="678">
        <v>0</v>
      </c>
      <c r="U77" s="678">
        <v>0</v>
      </c>
      <c r="V77" s="678">
        <v>0</v>
      </c>
      <c r="W77" s="679">
        <v>0</v>
      </c>
      <c r="X77">
        <v>0</v>
      </c>
      <c r="Y77">
        <v>0</v>
      </c>
    </row>
    <row r="78" spans="1:25" s="1" customFormat="1">
      <c r="A78" s="182"/>
      <c r="B78" s="217" t="s">
        <v>17</v>
      </c>
      <c r="C78" s="695">
        <v>9.2286438461258811E-4</v>
      </c>
      <c r="D78" s="697">
        <v>0</v>
      </c>
      <c r="E78" s="697">
        <v>2.5990459065465114E-3</v>
      </c>
      <c r="F78" s="697">
        <v>0</v>
      </c>
      <c r="G78" s="697">
        <v>4.8425611691937159E-3</v>
      </c>
      <c r="H78" s="697">
        <v>1.2211074610080204E-2</v>
      </c>
      <c r="I78" s="695">
        <v>3.0735610335709462E-3</v>
      </c>
      <c r="J78" s="695">
        <v>6.6345276263134493E-3</v>
      </c>
      <c r="K78" s="697">
        <v>1.199576008941685E-2</v>
      </c>
      <c r="L78" s="697">
        <v>2.7581241555855791E-2</v>
      </c>
      <c r="M78" s="697">
        <v>2.6109391124871002E-2</v>
      </c>
      <c r="N78" s="695">
        <v>1.596431457154995E-2</v>
      </c>
      <c r="O78" s="695">
        <v>0</v>
      </c>
      <c r="P78" s="697">
        <v>0</v>
      </c>
      <c r="Q78" s="695">
        <v>0</v>
      </c>
      <c r="R78" s="680">
        <v>0</v>
      </c>
      <c r="S78" s="680">
        <v>0</v>
      </c>
      <c r="T78" s="680">
        <v>0</v>
      </c>
      <c r="U78" s="680">
        <v>0</v>
      </c>
      <c r="V78" s="680">
        <v>0</v>
      </c>
      <c r="W78" s="681">
        <v>0</v>
      </c>
      <c r="X78">
        <v>0</v>
      </c>
      <c r="Y78">
        <v>0</v>
      </c>
    </row>
    <row r="79" spans="1:25">
      <c r="A79" s="182"/>
      <c r="B79" s="31" t="s">
        <v>12</v>
      </c>
      <c r="C79" s="694">
        <v>1090799</v>
      </c>
      <c r="D79" s="107">
        <v>0</v>
      </c>
      <c r="E79" s="107">
        <v>584502</v>
      </c>
      <c r="F79" s="107">
        <v>0</v>
      </c>
      <c r="G79" s="107">
        <v>586892</v>
      </c>
      <c r="H79" s="107">
        <v>172323</v>
      </c>
      <c r="I79" s="694">
        <v>2434516</v>
      </c>
      <c r="J79" s="694">
        <v>265072</v>
      </c>
      <c r="K79" s="107">
        <v>853028</v>
      </c>
      <c r="L79" s="107">
        <v>120330</v>
      </c>
      <c r="M79" s="107">
        <v>450638</v>
      </c>
      <c r="N79" s="694">
        <v>1689068</v>
      </c>
      <c r="O79" s="694">
        <v>0</v>
      </c>
      <c r="P79" s="107">
        <v>0</v>
      </c>
      <c r="Q79" s="694">
        <v>0</v>
      </c>
      <c r="R79" s="678">
        <v>0</v>
      </c>
      <c r="S79" s="678">
        <v>0</v>
      </c>
      <c r="T79" s="678">
        <v>0</v>
      </c>
      <c r="U79" s="678">
        <v>0</v>
      </c>
      <c r="V79" s="678">
        <v>0</v>
      </c>
      <c r="W79" s="679">
        <v>0</v>
      </c>
      <c r="X79">
        <v>0</v>
      </c>
      <c r="Y79">
        <v>0</v>
      </c>
    </row>
    <row r="80" spans="1:25" s="1" customFormat="1">
      <c r="A80" s="182"/>
      <c r="B80" s="31" t="s">
        <v>16</v>
      </c>
      <c r="C80" s="694">
        <v>1962</v>
      </c>
      <c r="D80" s="107">
        <v>0</v>
      </c>
      <c r="E80" s="107">
        <v>2537</v>
      </c>
      <c r="F80" s="107">
        <v>0</v>
      </c>
      <c r="G80" s="107">
        <v>6705</v>
      </c>
      <c r="H80" s="107">
        <v>5077</v>
      </c>
      <c r="I80" s="694">
        <v>16281</v>
      </c>
      <c r="J80" s="694">
        <v>7933</v>
      </c>
      <c r="K80" s="107">
        <v>37024</v>
      </c>
      <c r="L80" s="107">
        <v>6788</v>
      </c>
      <c r="M80" s="107">
        <v>27916</v>
      </c>
      <c r="N80" s="694">
        <v>79661</v>
      </c>
      <c r="O80" s="694">
        <v>0</v>
      </c>
      <c r="P80" s="107">
        <v>0</v>
      </c>
      <c r="Q80" s="694">
        <v>0</v>
      </c>
      <c r="R80" s="678">
        <v>0</v>
      </c>
      <c r="S80" s="678">
        <v>0</v>
      </c>
      <c r="T80" s="678">
        <v>0</v>
      </c>
      <c r="U80" s="678">
        <v>0</v>
      </c>
      <c r="V80" s="678">
        <v>0</v>
      </c>
      <c r="W80" s="679">
        <v>0</v>
      </c>
      <c r="X80">
        <v>0</v>
      </c>
      <c r="Y80">
        <v>0</v>
      </c>
    </row>
    <row r="81" spans="1:25">
      <c r="A81" s="182"/>
      <c r="B81" s="223" t="s">
        <v>19</v>
      </c>
      <c r="C81" s="695">
        <v>1.7986815169430848E-3</v>
      </c>
      <c r="D81" s="697">
        <v>0</v>
      </c>
      <c r="E81" s="697">
        <v>4.340447081447112E-3</v>
      </c>
      <c r="F81" s="697">
        <v>0</v>
      </c>
      <c r="G81" s="697">
        <v>1.1424589191878574E-2</v>
      </c>
      <c r="H81" s="697">
        <v>2.9462114749627153E-2</v>
      </c>
      <c r="I81" s="695">
        <v>6.6875715748017268E-3</v>
      </c>
      <c r="J81" s="695">
        <v>2.9927717752157905E-2</v>
      </c>
      <c r="K81" s="697">
        <v>4.3403030146724378E-2</v>
      </c>
      <c r="L81" s="697">
        <v>5.6411534945566361E-2</v>
      </c>
      <c r="M81" s="697">
        <v>6.194772744420133E-2</v>
      </c>
      <c r="N81" s="695">
        <v>4.7162695640436028E-2</v>
      </c>
      <c r="O81" s="695">
        <v>0</v>
      </c>
      <c r="P81" s="697">
        <v>0</v>
      </c>
      <c r="Q81" s="695">
        <v>0</v>
      </c>
      <c r="R81" s="682">
        <v>0</v>
      </c>
      <c r="S81" s="682">
        <v>0</v>
      </c>
      <c r="T81" s="682">
        <v>0</v>
      </c>
      <c r="U81" s="682">
        <v>0</v>
      </c>
      <c r="V81" s="682">
        <v>0</v>
      </c>
      <c r="W81" s="683">
        <v>0</v>
      </c>
      <c r="X81">
        <v>0</v>
      </c>
      <c r="Y81">
        <v>0</v>
      </c>
    </row>
    <row r="82" spans="1:25" s="1" customFormat="1">
      <c r="A82" s="182"/>
      <c r="B82" s="243" t="s">
        <v>982</v>
      </c>
      <c r="C82" s="696">
        <v>8.7581713233049669E-4</v>
      </c>
      <c r="D82" s="698">
        <v>0</v>
      </c>
      <c r="E82" s="698">
        <v>1.7414011749006006E-3</v>
      </c>
      <c r="F82" s="698">
        <v>0</v>
      </c>
      <c r="G82" s="698">
        <v>6.5820280226848585E-3</v>
      </c>
      <c r="H82" s="698">
        <v>1.7251040139546949E-2</v>
      </c>
      <c r="I82" s="696">
        <v>3.6140105412307806E-3</v>
      </c>
      <c r="J82" s="696">
        <v>2.3293190125844455E-2</v>
      </c>
      <c r="K82" s="698">
        <v>3.1407270057307528E-2</v>
      </c>
      <c r="L82" s="698">
        <v>2.8830293389710569E-2</v>
      </c>
      <c r="M82" s="698">
        <v>3.5838336319330324E-2</v>
      </c>
      <c r="N82" s="696">
        <v>3.1198381068886078E-2</v>
      </c>
      <c r="O82" s="696">
        <v>0</v>
      </c>
      <c r="P82" s="698">
        <v>0</v>
      </c>
      <c r="Q82" s="696">
        <v>0</v>
      </c>
      <c r="R82" s="684">
        <v>0</v>
      </c>
      <c r="S82" s="684">
        <v>0</v>
      </c>
      <c r="T82" s="684">
        <v>0</v>
      </c>
      <c r="U82" s="684">
        <v>0</v>
      </c>
      <c r="V82" s="684">
        <v>0</v>
      </c>
      <c r="W82" s="685">
        <v>0</v>
      </c>
      <c r="X82">
        <v>0</v>
      </c>
      <c r="Y82">
        <v>0</v>
      </c>
    </row>
    <row r="83" spans="1:25">
      <c r="A83" s="669" t="s">
        <v>199</v>
      </c>
      <c r="B83" s="667" t="s">
        <v>11</v>
      </c>
      <c r="C83" s="692">
        <v>628870</v>
      </c>
      <c r="D83" s="693">
        <v>0</v>
      </c>
      <c r="E83" s="693">
        <v>438379.5</v>
      </c>
      <c r="F83" s="693">
        <v>85876</v>
      </c>
      <c r="G83" s="693">
        <v>339809</v>
      </c>
      <c r="H83" s="693">
        <v>361664.5</v>
      </c>
      <c r="I83" s="692">
        <v>1854599</v>
      </c>
      <c r="J83" s="692">
        <v>0</v>
      </c>
      <c r="K83" s="693">
        <v>1429683</v>
      </c>
      <c r="L83" s="693">
        <v>874380</v>
      </c>
      <c r="M83" s="693">
        <v>213514</v>
      </c>
      <c r="N83" s="692">
        <v>2517577</v>
      </c>
      <c r="O83" s="692">
        <v>0</v>
      </c>
      <c r="P83" s="693">
        <v>0</v>
      </c>
      <c r="Q83" s="692">
        <v>0</v>
      </c>
      <c r="R83" s="676">
        <v>0</v>
      </c>
      <c r="S83" s="676">
        <v>0</v>
      </c>
      <c r="T83" s="676">
        <v>0</v>
      </c>
      <c r="U83" s="676">
        <v>0</v>
      </c>
      <c r="V83" s="676">
        <v>0</v>
      </c>
      <c r="W83" s="677">
        <v>0</v>
      </c>
      <c r="X83">
        <v>0</v>
      </c>
      <c r="Y83">
        <v>0</v>
      </c>
    </row>
    <row r="84" spans="1:25" s="1" customFormat="1">
      <c r="A84" s="182"/>
      <c r="B84" s="31" t="s">
        <v>15</v>
      </c>
      <c r="C84" s="694">
        <v>197</v>
      </c>
      <c r="D84" s="107">
        <v>0</v>
      </c>
      <c r="E84" s="107">
        <v>1461</v>
      </c>
      <c r="F84" s="107">
        <v>69</v>
      </c>
      <c r="G84" s="107">
        <v>990</v>
      </c>
      <c r="H84" s="107">
        <v>2648</v>
      </c>
      <c r="I84" s="694">
        <v>5365</v>
      </c>
      <c r="J84" s="694">
        <v>0</v>
      </c>
      <c r="K84" s="107">
        <v>26046</v>
      </c>
      <c r="L84" s="107">
        <v>27303</v>
      </c>
      <c r="M84" s="107">
        <v>13124</v>
      </c>
      <c r="N84" s="694">
        <v>66473</v>
      </c>
      <c r="O84" s="694">
        <v>0</v>
      </c>
      <c r="P84" s="107">
        <v>0</v>
      </c>
      <c r="Q84" s="694">
        <v>0</v>
      </c>
      <c r="R84" s="678">
        <v>0</v>
      </c>
      <c r="S84" s="678">
        <v>0</v>
      </c>
      <c r="T84" s="678">
        <v>0</v>
      </c>
      <c r="U84" s="678">
        <v>0</v>
      </c>
      <c r="V84" s="678">
        <v>0</v>
      </c>
      <c r="W84" s="679">
        <v>0</v>
      </c>
      <c r="X84">
        <v>0</v>
      </c>
      <c r="Y84">
        <v>0</v>
      </c>
    </row>
    <row r="85" spans="1:25">
      <c r="A85" s="182"/>
      <c r="B85" s="217" t="s">
        <v>17</v>
      </c>
      <c r="C85" s="695">
        <v>3.1326029227026251E-4</v>
      </c>
      <c r="D85" s="697">
        <v>0</v>
      </c>
      <c r="E85" s="697">
        <v>3.3327288342634635E-3</v>
      </c>
      <c r="F85" s="697">
        <v>8.0348409334389124E-4</v>
      </c>
      <c r="G85" s="697">
        <v>2.9134013519359404E-3</v>
      </c>
      <c r="H85" s="697">
        <v>7.3217028489110762E-3</v>
      </c>
      <c r="I85" s="695">
        <v>2.8928086341036526E-3</v>
      </c>
      <c r="J85" s="695">
        <v>0</v>
      </c>
      <c r="K85" s="697">
        <v>1.8218024555093682E-2</v>
      </c>
      <c r="L85" s="697">
        <v>3.1225554106910039E-2</v>
      </c>
      <c r="M85" s="697">
        <v>6.1466695392339614E-2</v>
      </c>
      <c r="N85" s="695">
        <v>2.6403561837433375E-2</v>
      </c>
      <c r="O85" s="695">
        <v>0</v>
      </c>
      <c r="P85" s="697">
        <v>0</v>
      </c>
      <c r="Q85" s="695">
        <v>0</v>
      </c>
      <c r="R85" s="680">
        <v>0</v>
      </c>
      <c r="S85" s="680">
        <v>0</v>
      </c>
      <c r="T85" s="680">
        <v>0</v>
      </c>
      <c r="U85" s="680">
        <v>0</v>
      </c>
      <c r="V85" s="680">
        <v>0</v>
      </c>
      <c r="W85" s="681">
        <v>0</v>
      </c>
      <c r="X85">
        <v>0</v>
      </c>
      <c r="Y85">
        <v>0</v>
      </c>
    </row>
    <row r="86" spans="1:25" s="1" customFormat="1">
      <c r="A86" s="182"/>
      <c r="B86" s="31" t="s">
        <v>12</v>
      </c>
      <c r="C86" s="694">
        <v>662243</v>
      </c>
      <c r="D86" s="107">
        <v>0</v>
      </c>
      <c r="E86" s="107">
        <v>442818</v>
      </c>
      <c r="F86" s="107">
        <v>87238</v>
      </c>
      <c r="G86" s="107">
        <v>352303</v>
      </c>
      <c r="H86" s="107">
        <v>367828</v>
      </c>
      <c r="I86" s="694">
        <v>1912430</v>
      </c>
      <c r="J86" s="694">
        <v>0</v>
      </c>
      <c r="K86" s="107">
        <v>1418672.79</v>
      </c>
      <c r="L86" s="107">
        <v>841059.92</v>
      </c>
      <c r="M86" s="107">
        <v>211076.25</v>
      </c>
      <c r="N86" s="694">
        <v>2470808.9600000004</v>
      </c>
      <c r="O86" s="694">
        <v>0</v>
      </c>
      <c r="P86" s="107">
        <v>0</v>
      </c>
      <c r="Q86" s="694">
        <v>0</v>
      </c>
      <c r="R86" s="678">
        <v>0</v>
      </c>
      <c r="S86" s="678">
        <v>0</v>
      </c>
      <c r="T86" s="678">
        <v>0</v>
      </c>
      <c r="U86" s="678">
        <v>0</v>
      </c>
      <c r="V86" s="678">
        <v>0</v>
      </c>
      <c r="W86" s="679">
        <v>0</v>
      </c>
      <c r="X86">
        <v>0</v>
      </c>
      <c r="Y86">
        <v>0</v>
      </c>
    </row>
    <row r="87" spans="1:25">
      <c r="A87" s="182"/>
      <c r="B87" s="31" t="s">
        <v>16</v>
      </c>
      <c r="C87" s="694">
        <v>143</v>
      </c>
      <c r="D87" s="107">
        <v>0</v>
      </c>
      <c r="E87" s="107">
        <v>1283</v>
      </c>
      <c r="F87" s="107">
        <v>227</v>
      </c>
      <c r="G87" s="107">
        <v>1696</v>
      </c>
      <c r="H87" s="107">
        <v>2918</v>
      </c>
      <c r="I87" s="694">
        <v>6267</v>
      </c>
      <c r="J87" s="694">
        <v>0</v>
      </c>
      <c r="K87" s="107">
        <v>29903</v>
      </c>
      <c r="L87" s="107">
        <v>30125</v>
      </c>
      <c r="M87" s="107">
        <v>15853</v>
      </c>
      <c r="N87" s="694">
        <v>75881</v>
      </c>
      <c r="O87" s="694">
        <v>0</v>
      </c>
      <c r="P87" s="107">
        <v>0</v>
      </c>
      <c r="Q87" s="694">
        <v>0</v>
      </c>
      <c r="R87" s="678">
        <v>0</v>
      </c>
      <c r="S87" s="678">
        <v>0</v>
      </c>
      <c r="T87" s="678">
        <v>0</v>
      </c>
      <c r="U87" s="678">
        <v>0</v>
      </c>
      <c r="V87" s="678">
        <v>0</v>
      </c>
      <c r="W87" s="679">
        <v>0</v>
      </c>
      <c r="X87">
        <v>0</v>
      </c>
      <c r="Y87">
        <v>0</v>
      </c>
    </row>
    <row r="88" spans="1:25" s="1" customFormat="1">
      <c r="A88" s="182"/>
      <c r="B88" s="223" t="s">
        <v>19</v>
      </c>
      <c r="C88" s="695">
        <v>2.1593282224198672E-4</v>
      </c>
      <c r="D88" s="697">
        <v>0</v>
      </c>
      <c r="E88" s="697">
        <v>2.8973528628014216E-3</v>
      </c>
      <c r="F88" s="697">
        <v>2.6020770765033587E-3</v>
      </c>
      <c r="G88" s="697">
        <v>4.8140379162255218E-3</v>
      </c>
      <c r="H88" s="697">
        <v>7.9330556673227696E-3</v>
      </c>
      <c r="I88" s="695">
        <v>3.2769826869480192E-3</v>
      </c>
      <c r="J88" s="695">
        <v>0</v>
      </c>
      <c r="K88" s="697">
        <v>2.107815150243348E-2</v>
      </c>
      <c r="L88" s="697">
        <v>3.5817899870915257E-2</v>
      </c>
      <c r="M88" s="697">
        <v>7.510556019447949E-2</v>
      </c>
      <c r="N88" s="695">
        <v>3.0710994345754673E-2</v>
      </c>
      <c r="O88" s="695">
        <v>0</v>
      </c>
      <c r="P88" s="697">
        <v>0</v>
      </c>
      <c r="Q88" s="695">
        <v>0</v>
      </c>
      <c r="R88" s="682">
        <v>0</v>
      </c>
      <c r="S88" s="682">
        <v>0</v>
      </c>
      <c r="T88" s="682">
        <v>0</v>
      </c>
      <c r="U88" s="682">
        <v>0</v>
      </c>
      <c r="V88" s="682">
        <v>0</v>
      </c>
      <c r="W88" s="683">
        <v>0</v>
      </c>
      <c r="X88">
        <v>0</v>
      </c>
      <c r="Y88">
        <v>0</v>
      </c>
    </row>
    <row r="89" spans="1:25">
      <c r="A89" s="182"/>
      <c r="B89" s="243" t="s">
        <v>982</v>
      </c>
      <c r="C89" s="696">
        <v>-9.7327470028275794E-5</v>
      </c>
      <c r="D89" s="698">
        <v>0</v>
      </c>
      <c r="E89" s="698">
        <v>-4.3537597146204188E-4</v>
      </c>
      <c r="F89" s="698">
        <v>1.7985929831594674E-3</v>
      </c>
      <c r="G89" s="698">
        <v>1.9006365642895815E-3</v>
      </c>
      <c r="H89" s="698">
        <v>6.1135281841169335E-4</v>
      </c>
      <c r="I89" s="696">
        <v>3.8417405284436662E-4</v>
      </c>
      <c r="J89" s="696">
        <v>0</v>
      </c>
      <c r="K89" s="698">
        <v>2.8601269473397979E-3</v>
      </c>
      <c r="L89" s="698">
        <v>4.5923457640052179E-3</v>
      </c>
      <c r="M89" s="698">
        <v>1.3638864802139876E-2</v>
      </c>
      <c r="N89" s="696">
        <v>4.3074325083212982E-3</v>
      </c>
      <c r="O89" s="696">
        <v>0</v>
      </c>
      <c r="P89" s="698">
        <v>0</v>
      </c>
      <c r="Q89" s="696">
        <v>0</v>
      </c>
      <c r="R89" s="684">
        <v>0</v>
      </c>
      <c r="S89" s="684">
        <v>0</v>
      </c>
      <c r="T89" s="684">
        <v>0</v>
      </c>
      <c r="U89" s="684">
        <v>0</v>
      </c>
      <c r="V89" s="684">
        <v>0</v>
      </c>
      <c r="W89" s="685">
        <v>0</v>
      </c>
      <c r="X89">
        <v>0</v>
      </c>
      <c r="Y89">
        <v>0</v>
      </c>
    </row>
    <row r="90" spans="1:25" s="1" customFormat="1">
      <c r="A90" s="669" t="s">
        <v>31</v>
      </c>
      <c r="B90" s="667" t="s">
        <v>11</v>
      </c>
      <c r="C90" s="692">
        <v>0</v>
      </c>
      <c r="D90" s="693">
        <v>0</v>
      </c>
      <c r="E90" s="693">
        <v>238372</v>
      </c>
      <c r="F90" s="693">
        <v>0</v>
      </c>
      <c r="G90" s="693">
        <v>203901</v>
      </c>
      <c r="H90" s="693">
        <v>0</v>
      </c>
      <c r="I90" s="692">
        <v>442273</v>
      </c>
      <c r="J90" s="692">
        <v>0</v>
      </c>
      <c r="K90" s="693">
        <v>1096285</v>
      </c>
      <c r="L90" s="693">
        <v>911394</v>
      </c>
      <c r="M90" s="693">
        <v>0</v>
      </c>
      <c r="N90" s="692">
        <v>2007679</v>
      </c>
      <c r="O90" s="692">
        <v>0</v>
      </c>
      <c r="P90" s="693">
        <v>0</v>
      </c>
      <c r="Q90" s="692">
        <v>0</v>
      </c>
      <c r="R90" s="676">
        <v>0</v>
      </c>
      <c r="S90" s="676">
        <v>0</v>
      </c>
      <c r="T90" s="676">
        <v>0</v>
      </c>
      <c r="U90" s="676">
        <v>0</v>
      </c>
      <c r="V90" s="676">
        <v>0</v>
      </c>
      <c r="W90" s="677">
        <v>0</v>
      </c>
      <c r="X90">
        <v>0</v>
      </c>
      <c r="Y90">
        <v>0</v>
      </c>
    </row>
    <row r="91" spans="1:25">
      <c r="A91" s="182"/>
      <c r="B91" s="31" t="s">
        <v>15</v>
      </c>
      <c r="C91" s="694">
        <v>0</v>
      </c>
      <c r="D91" s="107">
        <v>0</v>
      </c>
      <c r="E91" s="107">
        <v>1251</v>
      </c>
      <c r="F91" s="107">
        <v>0</v>
      </c>
      <c r="G91" s="107">
        <v>6272</v>
      </c>
      <c r="H91" s="107">
        <v>0</v>
      </c>
      <c r="I91" s="694">
        <v>7523</v>
      </c>
      <c r="J91" s="694">
        <v>0</v>
      </c>
      <c r="K91" s="107">
        <v>31632</v>
      </c>
      <c r="L91" s="107">
        <v>38380</v>
      </c>
      <c r="M91" s="107">
        <v>0</v>
      </c>
      <c r="N91" s="694">
        <v>70012</v>
      </c>
      <c r="O91" s="694">
        <v>0</v>
      </c>
      <c r="P91" s="107">
        <v>0</v>
      </c>
      <c r="Q91" s="694">
        <v>0</v>
      </c>
      <c r="R91" s="678">
        <v>0</v>
      </c>
      <c r="S91" s="678">
        <v>0</v>
      </c>
      <c r="T91" s="678">
        <v>0</v>
      </c>
      <c r="U91" s="678">
        <v>0</v>
      </c>
      <c r="V91" s="678">
        <v>0</v>
      </c>
      <c r="W91" s="679">
        <v>0</v>
      </c>
      <c r="X91">
        <v>0</v>
      </c>
      <c r="Y91">
        <v>0</v>
      </c>
    </row>
    <row r="92" spans="1:25" s="1" customFormat="1">
      <c r="A92" s="182"/>
      <c r="B92" s="217" t="s">
        <v>17</v>
      </c>
      <c r="C92" s="695">
        <v>0</v>
      </c>
      <c r="D92" s="697">
        <v>0</v>
      </c>
      <c r="E92" s="697">
        <v>5.2480996090144812E-3</v>
      </c>
      <c r="F92" s="697">
        <v>0</v>
      </c>
      <c r="G92" s="697">
        <v>3.076002569874596E-2</v>
      </c>
      <c r="H92" s="697">
        <v>0</v>
      </c>
      <c r="I92" s="695">
        <v>1.700985590348043E-2</v>
      </c>
      <c r="J92" s="695">
        <v>0</v>
      </c>
      <c r="K92" s="697">
        <v>2.8853810824739916E-2</v>
      </c>
      <c r="L92" s="697">
        <v>4.2111315194087298E-2</v>
      </c>
      <c r="M92" s="697">
        <v>0</v>
      </c>
      <c r="N92" s="695">
        <v>3.4872108539263501E-2</v>
      </c>
      <c r="O92" s="695">
        <v>0</v>
      </c>
      <c r="P92" s="697">
        <v>0</v>
      </c>
      <c r="Q92" s="695">
        <v>0</v>
      </c>
      <c r="R92" s="680">
        <v>0</v>
      </c>
      <c r="S92" s="680">
        <v>0</v>
      </c>
      <c r="T92" s="680">
        <v>0</v>
      </c>
      <c r="U92" s="680">
        <v>0</v>
      </c>
      <c r="V92" s="680">
        <v>0</v>
      </c>
      <c r="W92" s="681">
        <v>0</v>
      </c>
      <c r="X92">
        <v>0</v>
      </c>
      <c r="Y92">
        <v>0</v>
      </c>
    </row>
    <row r="93" spans="1:25">
      <c r="A93" s="182"/>
      <c r="B93" s="31" t="s">
        <v>12</v>
      </c>
      <c r="C93" s="694">
        <v>0</v>
      </c>
      <c r="D93" s="107">
        <v>0</v>
      </c>
      <c r="E93" s="107">
        <v>245949</v>
      </c>
      <c r="F93" s="107">
        <v>0</v>
      </c>
      <c r="G93" s="107">
        <v>196197</v>
      </c>
      <c r="H93" s="107">
        <v>0</v>
      </c>
      <c r="I93" s="694">
        <v>442146</v>
      </c>
      <c r="J93" s="694">
        <v>0</v>
      </c>
      <c r="K93" s="107">
        <v>1110598</v>
      </c>
      <c r="L93" s="107">
        <v>893714</v>
      </c>
      <c r="M93" s="107">
        <v>0</v>
      </c>
      <c r="N93" s="694">
        <v>2004312</v>
      </c>
      <c r="O93" s="694">
        <v>0</v>
      </c>
      <c r="P93" s="107">
        <v>0</v>
      </c>
      <c r="Q93" s="694">
        <v>0</v>
      </c>
      <c r="R93" s="678">
        <v>0</v>
      </c>
      <c r="S93" s="678">
        <v>0</v>
      </c>
      <c r="T93" s="678">
        <v>0</v>
      </c>
      <c r="U93" s="678">
        <v>0</v>
      </c>
      <c r="V93" s="678">
        <v>0</v>
      </c>
      <c r="W93" s="679">
        <v>0</v>
      </c>
      <c r="X93">
        <v>0</v>
      </c>
      <c r="Y93">
        <v>0</v>
      </c>
    </row>
    <row r="94" spans="1:25" s="1" customFormat="1">
      <c r="A94" s="182"/>
      <c r="B94" s="31" t="s">
        <v>16</v>
      </c>
      <c r="C94" s="694">
        <v>0</v>
      </c>
      <c r="D94" s="107">
        <v>0</v>
      </c>
      <c r="E94" s="107">
        <v>1577</v>
      </c>
      <c r="F94" s="107">
        <v>0</v>
      </c>
      <c r="G94" s="107">
        <v>5557</v>
      </c>
      <c r="H94" s="107">
        <v>0</v>
      </c>
      <c r="I94" s="694">
        <v>7134</v>
      </c>
      <c r="J94" s="694">
        <v>0</v>
      </c>
      <c r="K94" s="107">
        <v>35334</v>
      </c>
      <c r="L94" s="107">
        <v>45312</v>
      </c>
      <c r="M94" s="107">
        <v>0</v>
      </c>
      <c r="N94" s="694">
        <v>80646</v>
      </c>
      <c r="O94" s="694">
        <v>0</v>
      </c>
      <c r="P94" s="107">
        <v>0</v>
      </c>
      <c r="Q94" s="694">
        <v>0</v>
      </c>
      <c r="R94" s="678">
        <v>0</v>
      </c>
      <c r="S94" s="678">
        <v>0</v>
      </c>
      <c r="T94" s="678">
        <v>0</v>
      </c>
      <c r="U94" s="678">
        <v>0</v>
      </c>
      <c r="V94" s="678">
        <v>0</v>
      </c>
      <c r="W94" s="679">
        <v>0</v>
      </c>
      <c r="X94">
        <v>0</v>
      </c>
      <c r="Y94">
        <v>0</v>
      </c>
    </row>
    <row r="95" spans="1:25">
      <c r="A95" s="182"/>
      <c r="B95" s="223" t="s">
        <v>19</v>
      </c>
      <c r="C95" s="695">
        <v>0</v>
      </c>
      <c r="D95" s="697">
        <v>0</v>
      </c>
      <c r="E95" s="697">
        <v>6.4118984017011655E-3</v>
      </c>
      <c r="F95" s="697">
        <v>0</v>
      </c>
      <c r="G95" s="697">
        <v>2.8323572735566804E-2</v>
      </c>
      <c r="H95" s="697">
        <v>0</v>
      </c>
      <c r="I95" s="695">
        <v>1.6134941851786513E-2</v>
      </c>
      <c r="J95" s="695">
        <v>0</v>
      </c>
      <c r="K95" s="697">
        <v>3.1815292301985057E-2</v>
      </c>
      <c r="L95" s="697">
        <v>5.0700783472117476E-2</v>
      </c>
      <c r="M95" s="697">
        <v>0</v>
      </c>
      <c r="N95" s="695">
        <v>4.0236250643612373E-2</v>
      </c>
      <c r="O95" s="695">
        <v>0</v>
      </c>
      <c r="P95" s="697">
        <v>0</v>
      </c>
      <c r="Q95" s="695">
        <v>0</v>
      </c>
      <c r="R95" s="682">
        <v>0</v>
      </c>
      <c r="S95" s="682">
        <v>0</v>
      </c>
      <c r="T95" s="682">
        <v>0</v>
      </c>
      <c r="U95" s="682">
        <v>0</v>
      </c>
      <c r="V95" s="682">
        <v>0</v>
      </c>
      <c r="W95" s="683">
        <v>0</v>
      </c>
      <c r="X95">
        <v>0</v>
      </c>
      <c r="Y95">
        <v>0</v>
      </c>
    </row>
    <row r="96" spans="1:25" s="1" customFormat="1">
      <c r="A96" s="182"/>
      <c r="B96" s="243" t="s">
        <v>982</v>
      </c>
      <c r="C96" s="696">
        <v>0</v>
      </c>
      <c r="D96" s="698">
        <v>0</v>
      </c>
      <c r="E96" s="698">
        <v>1.1637987926866843E-3</v>
      </c>
      <c r="F96" s="698">
        <v>0</v>
      </c>
      <c r="G96" s="698">
        <v>-2.4364529631791566E-3</v>
      </c>
      <c r="H96" s="698">
        <v>0</v>
      </c>
      <c r="I96" s="696">
        <v>-8.7491405169391745E-4</v>
      </c>
      <c r="J96" s="696">
        <v>0</v>
      </c>
      <c r="K96" s="698">
        <v>2.9614814772451412E-3</v>
      </c>
      <c r="L96" s="698">
        <v>8.5894682780301781E-3</v>
      </c>
      <c r="M96" s="698">
        <v>0</v>
      </c>
      <c r="N96" s="696">
        <v>5.3641421043488721E-3</v>
      </c>
      <c r="O96" s="696">
        <v>0</v>
      </c>
      <c r="P96" s="698">
        <v>0</v>
      </c>
      <c r="Q96" s="696">
        <v>0</v>
      </c>
      <c r="R96" s="684">
        <v>0</v>
      </c>
      <c r="S96" s="684">
        <v>0</v>
      </c>
      <c r="T96" s="684">
        <v>0</v>
      </c>
      <c r="U96" s="684">
        <v>0</v>
      </c>
      <c r="V96" s="684">
        <v>0</v>
      </c>
      <c r="W96" s="685">
        <v>0</v>
      </c>
      <c r="X96">
        <v>0</v>
      </c>
      <c r="Y96">
        <v>0</v>
      </c>
    </row>
    <row r="97" spans="1:25">
      <c r="A97" s="669" t="s">
        <v>33</v>
      </c>
      <c r="B97" s="667" t="s">
        <v>11</v>
      </c>
      <c r="C97" s="692">
        <v>5122035</v>
      </c>
      <c r="D97" s="693">
        <v>1275570</v>
      </c>
      <c r="E97" s="693">
        <v>4170292</v>
      </c>
      <c r="F97" s="693">
        <v>76964</v>
      </c>
      <c r="G97" s="693">
        <v>281735</v>
      </c>
      <c r="H97" s="693">
        <v>49481</v>
      </c>
      <c r="I97" s="692">
        <v>10976077</v>
      </c>
      <c r="J97" s="692">
        <v>748106</v>
      </c>
      <c r="K97" s="693">
        <v>11171131</v>
      </c>
      <c r="L97" s="693">
        <v>2441495</v>
      </c>
      <c r="M97" s="693">
        <v>411354</v>
      </c>
      <c r="N97" s="692">
        <v>14772086</v>
      </c>
      <c r="O97" s="692">
        <v>2489907</v>
      </c>
      <c r="P97" s="693">
        <v>2489907</v>
      </c>
      <c r="Q97" s="692">
        <v>0</v>
      </c>
      <c r="R97" s="676">
        <v>0</v>
      </c>
      <c r="S97" s="676">
        <v>0</v>
      </c>
      <c r="T97" s="676">
        <v>2022550</v>
      </c>
      <c r="U97" s="676">
        <v>2022550</v>
      </c>
      <c r="V97" s="676">
        <v>414356</v>
      </c>
      <c r="W97" s="677">
        <v>414356</v>
      </c>
      <c r="X97">
        <v>0</v>
      </c>
      <c r="Y97">
        <v>0</v>
      </c>
    </row>
    <row r="98" spans="1:25" s="1" customFormat="1">
      <c r="A98" s="182"/>
      <c r="B98" s="31" t="s">
        <v>15</v>
      </c>
      <c r="C98" s="694">
        <v>7130</v>
      </c>
      <c r="D98" s="107">
        <v>4718</v>
      </c>
      <c r="E98" s="107">
        <v>31172</v>
      </c>
      <c r="F98" s="107">
        <v>15</v>
      </c>
      <c r="G98" s="107">
        <v>543</v>
      </c>
      <c r="H98" s="107">
        <v>0</v>
      </c>
      <c r="I98" s="694">
        <v>43578</v>
      </c>
      <c r="J98" s="694">
        <v>118977</v>
      </c>
      <c r="K98" s="107">
        <v>634383</v>
      </c>
      <c r="L98" s="107">
        <v>211298</v>
      </c>
      <c r="M98" s="107">
        <v>32635</v>
      </c>
      <c r="N98" s="694">
        <v>997293</v>
      </c>
      <c r="O98" s="694">
        <v>161362</v>
      </c>
      <c r="P98" s="107">
        <v>161362</v>
      </c>
      <c r="Q98" s="694">
        <v>0</v>
      </c>
      <c r="R98" s="678">
        <v>0</v>
      </c>
      <c r="S98" s="678">
        <v>0</v>
      </c>
      <c r="T98" s="678">
        <v>136612</v>
      </c>
      <c r="U98" s="678">
        <v>136612</v>
      </c>
      <c r="V98" s="678">
        <v>22387</v>
      </c>
      <c r="W98" s="679">
        <v>22387</v>
      </c>
      <c r="X98">
        <v>0</v>
      </c>
      <c r="Y98">
        <v>0</v>
      </c>
    </row>
    <row r="99" spans="1:25">
      <c r="A99" s="182"/>
      <c r="B99" s="217" t="s">
        <v>17</v>
      </c>
      <c r="C99" s="695">
        <v>1.392024849498295E-3</v>
      </c>
      <c r="D99" s="697">
        <v>3.6987386031342852E-3</v>
      </c>
      <c r="E99" s="697">
        <v>7.4747763465963539E-3</v>
      </c>
      <c r="F99" s="697">
        <v>1.9489631516033469E-4</v>
      </c>
      <c r="G99" s="697">
        <v>1.9273430706160043E-3</v>
      </c>
      <c r="H99" s="697">
        <v>0</v>
      </c>
      <c r="I99" s="695">
        <v>3.9702709811529199E-3</v>
      </c>
      <c r="J99" s="695">
        <v>0.15903762301064286</v>
      </c>
      <c r="K99" s="697">
        <v>5.6787714690661135E-2</v>
      </c>
      <c r="L99" s="697">
        <v>8.6544514733800398E-2</v>
      </c>
      <c r="M99" s="697">
        <v>7.9335560125828361E-2</v>
      </c>
      <c r="N99" s="695">
        <v>6.7511995259166513E-2</v>
      </c>
      <c r="O99" s="695">
        <v>6.4806436545621987E-2</v>
      </c>
      <c r="P99" s="697">
        <v>6.4806436545621987E-2</v>
      </c>
      <c r="Q99" s="695">
        <v>0</v>
      </c>
      <c r="R99" s="680">
        <v>0</v>
      </c>
      <c r="S99" s="680">
        <v>0</v>
      </c>
      <c r="T99" s="680">
        <v>6.7544436478702632E-2</v>
      </c>
      <c r="U99" s="680">
        <v>6.7544436478702632E-2</v>
      </c>
      <c r="V99" s="680">
        <v>5.4028420005985192E-2</v>
      </c>
      <c r="W99" s="681">
        <v>5.4028420005985192E-2</v>
      </c>
      <c r="X99">
        <v>0</v>
      </c>
      <c r="Y99">
        <v>0</v>
      </c>
    </row>
    <row r="100" spans="1:25" s="1" customFormat="1">
      <c r="A100" s="182"/>
      <c r="B100" s="31" t="s">
        <v>12</v>
      </c>
      <c r="C100" s="694">
        <v>5276587</v>
      </c>
      <c r="D100" s="107">
        <v>1332619</v>
      </c>
      <c r="E100" s="107">
        <v>4280207</v>
      </c>
      <c r="F100" s="107">
        <v>91001</v>
      </c>
      <c r="G100" s="107">
        <v>284896</v>
      </c>
      <c r="H100" s="107">
        <v>54166</v>
      </c>
      <c r="I100" s="694">
        <v>11319476</v>
      </c>
      <c r="J100" s="694">
        <v>767841</v>
      </c>
      <c r="K100" s="107">
        <v>11367099</v>
      </c>
      <c r="L100" s="107">
        <v>2412924</v>
      </c>
      <c r="M100" s="107">
        <v>416048</v>
      </c>
      <c r="N100" s="694">
        <v>14963912</v>
      </c>
      <c r="O100" s="694">
        <v>2539494</v>
      </c>
      <c r="P100" s="107">
        <v>2539494</v>
      </c>
      <c r="Q100" s="694">
        <v>0</v>
      </c>
      <c r="R100" s="678">
        <v>0</v>
      </c>
      <c r="S100" s="678">
        <v>0</v>
      </c>
      <c r="T100" s="678">
        <v>2066042</v>
      </c>
      <c r="U100" s="678">
        <v>2066042</v>
      </c>
      <c r="V100" s="678">
        <v>411468</v>
      </c>
      <c r="W100" s="679">
        <v>411468</v>
      </c>
      <c r="X100">
        <v>116692</v>
      </c>
      <c r="Y100">
        <v>116692</v>
      </c>
    </row>
    <row r="101" spans="1:25">
      <c r="A101" s="182"/>
      <c r="B101" s="31" t="s">
        <v>16</v>
      </c>
      <c r="C101" s="694">
        <v>5951</v>
      </c>
      <c r="D101" s="107">
        <v>1221</v>
      </c>
      <c r="E101" s="107">
        <v>35767</v>
      </c>
      <c r="F101" s="107">
        <v>16</v>
      </c>
      <c r="G101" s="107">
        <v>373</v>
      </c>
      <c r="H101" s="107">
        <v>0</v>
      </c>
      <c r="I101" s="694">
        <v>43328</v>
      </c>
      <c r="J101" s="694">
        <v>127511</v>
      </c>
      <c r="K101" s="107">
        <v>658118</v>
      </c>
      <c r="L101" s="107">
        <v>219085</v>
      </c>
      <c r="M101" s="107">
        <v>35348</v>
      </c>
      <c r="N101" s="694">
        <v>1040062</v>
      </c>
      <c r="O101" s="694">
        <v>189806</v>
      </c>
      <c r="P101" s="107">
        <v>189806</v>
      </c>
      <c r="Q101" s="694">
        <v>0</v>
      </c>
      <c r="R101" s="678">
        <v>0</v>
      </c>
      <c r="S101" s="678">
        <v>0</v>
      </c>
      <c r="T101" s="678">
        <v>163085</v>
      </c>
      <c r="U101" s="678">
        <v>163085</v>
      </c>
      <c r="V101" s="678">
        <v>24605</v>
      </c>
      <c r="W101" s="679">
        <v>24605</v>
      </c>
      <c r="X101">
        <v>0</v>
      </c>
      <c r="Y101">
        <v>0</v>
      </c>
    </row>
    <row r="102" spans="1:25">
      <c r="A102" s="182"/>
      <c r="B102" s="223" t="s">
        <v>19</v>
      </c>
      <c r="C102" s="695">
        <v>1.1278123529470849E-3</v>
      </c>
      <c r="D102" s="697">
        <v>9.1624087604934344E-4</v>
      </c>
      <c r="E102" s="697">
        <v>8.3563715493199277E-3</v>
      </c>
      <c r="F102" s="697">
        <v>1.7582224371160757E-4</v>
      </c>
      <c r="G102" s="697">
        <v>1.3092496911153544E-3</v>
      </c>
      <c r="H102" s="697">
        <v>0</v>
      </c>
      <c r="I102" s="695">
        <v>3.8277390225483934E-3</v>
      </c>
      <c r="J102" s="695">
        <v>0.16606432842216032</v>
      </c>
      <c r="K102" s="697">
        <v>5.7896742167900535E-2</v>
      </c>
      <c r="L102" s="697">
        <v>9.0796477634604328E-2</v>
      </c>
      <c r="M102" s="697">
        <v>8.496135061339076E-2</v>
      </c>
      <c r="N102" s="695">
        <v>6.9504685673104735E-2</v>
      </c>
      <c r="O102" s="695">
        <v>7.4741661134068438E-2</v>
      </c>
      <c r="P102" s="697">
        <v>7.4741661134068438E-2</v>
      </c>
      <c r="Q102" s="695">
        <v>0</v>
      </c>
      <c r="R102" s="682">
        <v>0</v>
      </c>
      <c r="S102" s="682">
        <v>0</v>
      </c>
      <c r="T102" s="682">
        <v>7.893595580341542E-2</v>
      </c>
      <c r="U102" s="682">
        <v>7.893595580341542E-2</v>
      </c>
      <c r="V102" s="682">
        <v>5.9798088794268324E-2</v>
      </c>
      <c r="W102" s="683">
        <v>5.9798088794268324E-2</v>
      </c>
      <c r="X102">
        <v>0</v>
      </c>
      <c r="Y102">
        <v>0</v>
      </c>
    </row>
    <row r="103" spans="1:25">
      <c r="A103" s="182"/>
      <c r="B103" s="243" t="s">
        <v>982</v>
      </c>
      <c r="C103" s="696">
        <v>-2.6421249655121009E-4</v>
      </c>
      <c r="D103" s="698">
        <v>-2.7824977270849418E-3</v>
      </c>
      <c r="E103" s="698">
        <v>8.8159520272357381E-4</v>
      </c>
      <c r="F103" s="698">
        <v>-1.9074071448727117E-5</v>
      </c>
      <c r="G103" s="698">
        <v>-6.1809337950064999E-4</v>
      </c>
      <c r="H103" s="698">
        <v>0</v>
      </c>
      <c r="I103" s="696">
        <v>-1.4253195860452648E-4</v>
      </c>
      <c r="J103" s="696">
        <v>7.0267054115174532E-3</v>
      </c>
      <c r="K103" s="698">
        <v>1.1090274772393993E-3</v>
      </c>
      <c r="L103" s="698">
        <v>4.2519629008039295E-3</v>
      </c>
      <c r="M103" s="698">
        <v>5.6257904875623987E-3</v>
      </c>
      <c r="N103" s="696">
        <v>1.9926904139382223E-3</v>
      </c>
      <c r="O103" s="696">
        <v>9.9352245884464507E-3</v>
      </c>
      <c r="P103" s="698">
        <v>9.9352245884464507E-3</v>
      </c>
      <c r="Q103" s="696">
        <v>0</v>
      </c>
      <c r="R103" s="684">
        <v>0</v>
      </c>
      <c r="S103" s="684">
        <v>0</v>
      </c>
      <c r="T103" s="684">
        <v>1.1391519324712787E-2</v>
      </c>
      <c r="U103" s="684">
        <v>1.1391519324712787E-2</v>
      </c>
      <c r="V103" s="684">
        <v>5.7696687882831318E-3</v>
      </c>
      <c r="W103" s="685">
        <v>5.7696687882831318E-3</v>
      </c>
      <c r="X103">
        <v>0</v>
      </c>
      <c r="Y103">
        <v>0</v>
      </c>
    </row>
    <row r="104" spans="1:25">
      <c r="A104" s="669" t="s">
        <v>166</v>
      </c>
      <c r="B104" s="667" t="s">
        <v>11</v>
      </c>
      <c r="C104" s="692">
        <v>2239684.5</v>
      </c>
      <c r="D104" s="693">
        <v>817799</v>
      </c>
      <c r="E104" s="693">
        <v>678693</v>
      </c>
      <c r="F104" s="693">
        <v>512517</v>
      </c>
      <c r="G104" s="693">
        <v>264399</v>
      </c>
      <c r="H104" s="693">
        <v>50699.3</v>
      </c>
      <c r="I104" s="692">
        <v>4563791.8</v>
      </c>
      <c r="J104" s="692">
        <v>0</v>
      </c>
      <c r="K104" s="693">
        <v>2108397</v>
      </c>
      <c r="L104" s="693">
        <v>1382218</v>
      </c>
      <c r="M104" s="693">
        <v>292991</v>
      </c>
      <c r="N104" s="692">
        <v>3783606</v>
      </c>
      <c r="O104" s="692">
        <v>3725338</v>
      </c>
      <c r="P104" s="693">
        <v>3725338</v>
      </c>
      <c r="Q104" s="692">
        <v>0</v>
      </c>
      <c r="R104" s="676">
        <v>0</v>
      </c>
      <c r="S104" s="676">
        <v>0</v>
      </c>
      <c r="T104" s="676">
        <v>2108397</v>
      </c>
      <c r="U104" s="676">
        <v>2108397</v>
      </c>
      <c r="V104" s="676">
        <v>1382218</v>
      </c>
      <c r="W104" s="677">
        <v>1382218</v>
      </c>
      <c r="X104">
        <v>0</v>
      </c>
      <c r="Y104">
        <v>0</v>
      </c>
    </row>
    <row r="105" spans="1:25">
      <c r="A105" s="182"/>
      <c r="B105" s="31" t="s">
        <v>15</v>
      </c>
      <c r="C105" s="694">
        <v>1926</v>
      </c>
      <c r="D105" s="107">
        <v>4740</v>
      </c>
      <c r="E105" s="107">
        <v>1885</v>
      </c>
      <c r="F105" s="107">
        <v>9</v>
      </c>
      <c r="G105" s="107">
        <v>35</v>
      </c>
      <c r="H105" s="107">
        <v>142</v>
      </c>
      <c r="I105" s="694">
        <v>8737</v>
      </c>
      <c r="J105" s="694">
        <v>0</v>
      </c>
      <c r="K105" s="107">
        <v>65254</v>
      </c>
      <c r="L105" s="107">
        <v>279191</v>
      </c>
      <c r="M105" s="107">
        <v>73623</v>
      </c>
      <c r="N105" s="694">
        <v>418068</v>
      </c>
      <c r="O105" s="694">
        <v>390846</v>
      </c>
      <c r="P105" s="107">
        <v>390846</v>
      </c>
      <c r="Q105" s="694">
        <v>0</v>
      </c>
      <c r="R105" s="678">
        <v>0</v>
      </c>
      <c r="S105" s="678">
        <v>0</v>
      </c>
      <c r="T105" s="678">
        <v>65254</v>
      </c>
      <c r="U105" s="678">
        <v>65254</v>
      </c>
      <c r="V105" s="678">
        <v>279191</v>
      </c>
      <c r="W105" s="679">
        <v>279191</v>
      </c>
      <c r="X105">
        <v>0</v>
      </c>
      <c r="Y105">
        <v>0</v>
      </c>
    </row>
    <row r="106" spans="1:25">
      <c r="A106" s="182"/>
      <c r="B106" s="217" t="s">
        <v>17</v>
      </c>
      <c r="C106" s="695">
        <v>8.5994254994397647E-4</v>
      </c>
      <c r="D106" s="697">
        <v>5.7960452384999252E-3</v>
      </c>
      <c r="E106" s="697">
        <v>2.7773971442168993E-3</v>
      </c>
      <c r="F106" s="697">
        <v>1.7560393118667283E-5</v>
      </c>
      <c r="G106" s="697">
        <v>1.3237568977189778E-4</v>
      </c>
      <c r="H106" s="697">
        <v>2.8008276248390014E-3</v>
      </c>
      <c r="I106" s="695">
        <v>1.9144168671322826E-3</v>
      </c>
      <c r="J106" s="695">
        <v>0</v>
      </c>
      <c r="K106" s="697">
        <v>3.0949579230097557E-2</v>
      </c>
      <c r="L106" s="697">
        <v>0.20198767488196506</v>
      </c>
      <c r="M106" s="697">
        <v>0.25128075606417943</v>
      </c>
      <c r="N106" s="695">
        <v>0.11049459166731419</v>
      </c>
      <c r="O106" s="695">
        <v>0.104915580814412</v>
      </c>
      <c r="P106" s="697">
        <v>0.104915580814412</v>
      </c>
      <c r="Q106" s="695">
        <v>0</v>
      </c>
      <c r="R106" s="680">
        <v>0</v>
      </c>
      <c r="S106" s="680">
        <v>0</v>
      </c>
      <c r="T106" s="680">
        <v>3.0949579230097557E-2</v>
      </c>
      <c r="U106" s="680">
        <v>3.0949579230097557E-2</v>
      </c>
      <c r="V106" s="680">
        <v>0.20198767488196506</v>
      </c>
      <c r="W106" s="681">
        <v>0.20198767488196506</v>
      </c>
      <c r="X106">
        <v>0</v>
      </c>
      <c r="Y106">
        <v>0</v>
      </c>
    </row>
    <row r="107" spans="1:25">
      <c r="A107" s="182"/>
      <c r="B107" s="31" t="s">
        <v>12</v>
      </c>
      <c r="C107" s="694">
        <v>2288856</v>
      </c>
      <c r="D107" s="107">
        <v>825507.5</v>
      </c>
      <c r="E107" s="107">
        <v>694589</v>
      </c>
      <c r="F107" s="107">
        <v>528869</v>
      </c>
      <c r="G107" s="107">
        <v>267460</v>
      </c>
      <c r="H107" s="107">
        <v>51710</v>
      </c>
      <c r="I107" s="694">
        <v>4656991.5</v>
      </c>
      <c r="J107" s="694">
        <v>0</v>
      </c>
      <c r="K107" s="107">
        <v>2216538</v>
      </c>
      <c r="L107" s="107">
        <v>1396399</v>
      </c>
      <c r="M107" s="107">
        <v>296180</v>
      </c>
      <c r="N107" s="694">
        <v>3909117</v>
      </c>
      <c r="O107" s="694">
        <v>3848311</v>
      </c>
      <c r="P107" s="107">
        <v>3848311</v>
      </c>
      <c r="Q107" s="694">
        <v>0</v>
      </c>
      <c r="R107" s="678">
        <v>0</v>
      </c>
      <c r="S107" s="678">
        <v>0</v>
      </c>
      <c r="T107" s="678">
        <v>2216538</v>
      </c>
      <c r="U107" s="678">
        <v>2216538</v>
      </c>
      <c r="V107" s="678">
        <v>1396399</v>
      </c>
      <c r="W107" s="679">
        <v>1396399</v>
      </c>
      <c r="X107">
        <v>0</v>
      </c>
      <c r="Y107">
        <v>0</v>
      </c>
    </row>
    <row r="108" spans="1:25">
      <c r="A108" s="182"/>
      <c r="B108" s="31" t="s">
        <v>16</v>
      </c>
      <c r="C108" s="694">
        <v>24514</v>
      </c>
      <c r="D108" s="107">
        <v>7584</v>
      </c>
      <c r="E108" s="107">
        <v>6124</v>
      </c>
      <c r="F108" s="107">
        <v>256</v>
      </c>
      <c r="G108" s="107">
        <v>30</v>
      </c>
      <c r="H108" s="107">
        <v>81</v>
      </c>
      <c r="I108" s="694">
        <v>38589</v>
      </c>
      <c r="J108" s="694">
        <v>0</v>
      </c>
      <c r="K108" s="107">
        <v>81589</v>
      </c>
      <c r="L108" s="107">
        <v>371173</v>
      </c>
      <c r="M108" s="107">
        <v>102664</v>
      </c>
      <c r="N108" s="694">
        <v>555426</v>
      </c>
      <c r="O108" s="694">
        <v>516361</v>
      </c>
      <c r="P108" s="107">
        <v>516361</v>
      </c>
      <c r="Q108" s="694">
        <v>0</v>
      </c>
      <c r="R108" s="678">
        <v>0</v>
      </c>
      <c r="S108" s="678">
        <v>0</v>
      </c>
      <c r="T108" s="678">
        <v>81589</v>
      </c>
      <c r="U108" s="678">
        <v>81589</v>
      </c>
      <c r="V108" s="678">
        <v>371173</v>
      </c>
      <c r="W108" s="679">
        <v>371173</v>
      </c>
      <c r="X108">
        <v>0</v>
      </c>
      <c r="Y108">
        <v>0</v>
      </c>
    </row>
    <row r="109" spans="1:25">
      <c r="A109" s="182"/>
      <c r="B109" s="223" t="s">
        <v>19</v>
      </c>
      <c r="C109" s="695">
        <v>1.071015389347342E-2</v>
      </c>
      <c r="D109" s="697">
        <v>9.1870758291111836E-3</v>
      </c>
      <c r="E109" s="697">
        <v>8.816724710584244E-3</v>
      </c>
      <c r="F109" s="697">
        <v>4.8405181623426593E-4</v>
      </c>
      <c r="G109" s="697">
        <v>1.1216630524190533E-4</v>
      </c>
      <c r="H109" s="697">
        <v>1.566428157029588E-3</v>
      </c>
      <c r="I109" s="695">
        <v>8.2862508982462172E-3</v>
      </c>
      <c r="J109" s="695">
        <v>0</v>
      </c>
      <c r="K109" s="697">
        <v>3.6809204263585825E-2</v>
      </c>
      <c r="L109" s="697">
        <v>0.26580726568838847</v>
      </c>
      <c r="M109" s="697">
        <v>0.34662705111756364</v>
      </c>
      <c r="N109" s="695">
        <v>0.14208477259698291</v>
      </c>
      <c r="O109" s="695">
        <v>0.13417860458783087</v>
      </c>
      <c r="P109" s="697">
        <v>0.13417860458783087</v>
      </c>
      <c r="Q109" s="695">
        <v>0</v>
      </c>
      <c r="R109" s="682">
        <v>0</v>
      </c>
      <c r="S109" s="682">
        <v>0</v>
      </c>
      <c r="T109" s="682">
        <v>3.6809204263585825E-2</v>
      </c>
      <c r="U109" s="682">
        <v>3.6809204263585825E-2</v>
      </c>
      <c r="V109" s="682">
        <v>0.26580726568838847</v>
      </c>
      <c r="W109" s="683">
        <v>0.26580726568838847</v>
      </c>
      <c r="X109">
        <v>0</v>
      </c>
      <c r="Y109">
        <v>0</v>
      </c>
    </row>
    <row r="110" spans="1:25">
      <c r="A110" s="182"/>
      <c r="B110" s="243" t="s">
        <v>982</v>
      </c>
      <c r="C110" s="696">
        <v>9.8502113435294438E-3</v>
      </c>
      <c r="D110" s="698">
        <v>3.3910305906112584E-3</v>
      </c>
      <c r="E110" s="698">
        <v>6.0393275663673442E-3</v>
      </c>
      <c r="F110" s="698">
        <v>4.6649142311559863E-4</v>
      </c>
      <c r="G110" s="698">
        <v>-2.0209384529992452E-5</v>
      </c>
      <c r="H110" s="698">
        <v>-1.2343994678094133E-3</v>
      </c>
      <c r="I110" s="696">
        <v>6.3718340311139342E-3</v>
      </c>
      <c r="J110" s="696">
        <v>0</v>
      </c>
      <c r="K110" s="698">
        <v>5.859625033488268E-3</v>
      </c>
      <c r="L110" s="701">
        <v>6.381959080642341E-2</v>
      </c>
      <c r="M110" s="701">
        <v>9.5346295053384211E-2</v>
      </c>
      <c r="N110" s="696">
        <v>3.1590180929668712E-2</v>
      </c>
      <c r="O110" s="696">
        <v>2.926302377341887E-2</v>
      </c>
      <c r="P110" s="698">
        <v>2.926302377341887E-2</v>
      </c>
      <c r="Q110" s="696">
        <v>0</v>
      </c>
      <c r="R110" s="684">
        <v>0</v>
      </c>
      <c r="S110" s="684">
        <v>0</v>
      </c>
      <c r="T110" s="684">
        <v>5.859625033488268E-3</v>
      </c>
      <c r="U110" s="684">
        <v>5.859625033488268E-3</v>
      </c>
      <c r="V110" s="684">
        <v>6.381959080642341E-2</v>
      </c>
      <c r="W110" s="685">
        <v>6.381959080642341E-2</v>
      </c>
      <c r="X110">
        <v>0</v>
      </c>
      <c r="Y110">
        <v>0</v>
      </c>
    </row>
    <row r="111" spans="1:25">
      <c r="A111" s="669" t="s">
        <v>165</v>
      </c>
      <c r="B111" s="667" t="s">
        <v>11</v>
      </c>
      <c r="C111" s="692">
        <v>643435</v>
      </c>
      <c r="D111" s="693">
        <v>0</v>
      </c>
      <c r="E111" s="693">
        <v>264172</v>
      </c>
      <c r="F111" s="693">
        <v>0</v>
      </c>
      <c r="G111" s="693">
        <v>230191.5</v>
      </c>
      <c r="H111" s="693">
        <v>365884.4</v>
      </c>
      <c r="I111" s="692">
        <v>1503682.9</v>
      </c>
      <c r="J111" s="692">
        <v>149791</v>
      </c>
      <c r="K111" s="693">
        <v>0</v>
      </c>
      <c r="L111" s="693">
        <v>76666.3</v>
      </c>
      <c r="M111" s="693">
        <v>358666.2</v>
      </c>
      <c r="N111" s="692">
        <v>585123.5</v>
      </c>
      <c r="O111" s="692">
        <v>0</v>
      </c>
      <c r="P111" s="693">
        <v>0</v>
      </c>
      <c r="Q111" s="692">
        <v>0</v>
      </c>
      <c r="R111" s="676">
        <v>0</v>
      </c>
      <c r="S111" s="676">
        <v>0</v>
      </c>
      <c r="T111" s="676">
        <v>0</v>
      </c>
      <c r="U111" s="676">
        <v>0</v>
      </c>
      <c r="V111" s="676">
        <v>0</v>
      </c>
      <c r="W111" s="677">
        <v>0</v>
      </c>
      <c r="X111">
        <v>0</v>
      </c>
      <c r="Y111">
        <v>0</v>
      </c>
    </row>
    <row r="112" spans="1:25">
      <c r="A112" s="182"/>
      <c r="B112" s="31" t="s">
        <v>15</v>
      </c>
      <c r="C112" s="694">
        <v>2849</v>
      </c>
      <c r="D112" s="107">
        <v>0</v>
      </c>
      <c r="E112" s="107">
        <v>4279</v>
      </c>
      <c r="F112" s="107">
        <v>0</v>
      </c>
      <c r="G112" s="107">
        <v>73</v>
      </c>
      <c r="H112" s="107">
        <v>7959</v>
      </c>
      <c r="I112" s="694">
        <v>15160</v>
      </c>
      <c r="J112" s="694">
        <v>5985</v>
      </c>
      <c r="K112" s="107">
        <v>0</v>
      </c>
      <c r="L112" s="107">
        <v>3076</v>
      </c>
      <c r="M112" s="107">
        <v>14603.7</v>
      </c>
      <c r="N112" s="694">
        <v>23664.7</v>
      </c>
      <c r="O112" s="694">
        <v>0</v>
      </c>
      <c r="P112" s="107">
        <v>0</v>
      </c>
      <c r="Q112" s="694">
        <v>0</v>
      </c>
      <c r="R112" s="678">
        <v>0</v>
      </c>
      <c r="S112" s="678">
        <v>0</v>
      </c>
      <c r="T112" s="678">
        <v>0</v>
      </c>
      <c r="U112" s="678">
        <v>0</v>
      </c>
      <c r="V112" s="678">
        <v>0</v>
      </c>
      <c r="W112" s="679">
        <v>0</v>
      </c>
      <c r="X112">
        <v>0</v>
      </c>
      <c r="Y112">
        <v>0</v>
      </c>
    </row>
    <row r="113" spans="1:25">
      <c r="A113" s="182"/>
      <c r="B113" s="217" t="s">
        <v>17</v>
      </c>
      <c r="C113" s="695">
        <v>4.4277976796413005E-3</v>
      </c>
      <c r="D113" s="697">
        <v>0</v>
      </c>
      <c r="E113" s="697">
        <v>1.6197780234089913E-2</v>
      </c>
      <c r="F113" s="697">
        <v>0</v>
      </c>
      <c r="G113" s="697">
        <v>3.1712726143232918E-4</v>
      </c>
      <c r="H113" s="697">
        <v>2.1752772187062359E-2</v>
      </c>
      <c r="I113" s="695">
        <v>1.0081912882031179E-2</v>
      </c>
      <c r="J113" s="695">
        <v>3.9955671569052879E-2</v>
      </c>
      <c r="K113" s="697">
        <v>0</v>
      </c>
      <c r="L113" s="697">
        <v>4.0121931017930955E-2</v>
      </c>
      <c r="M113" s="697">
        <v>4.0716688664836555E-2</v>
      </c>
      <c r="N113" s="695">
        <v>4.0443940467268874E-2</v>
      </c>
      <c r="O113" s="695">
        <v>0</v>
      </c>
      <c r="P113" s="697">
        <v>0</v>
      </c>
      <c r="Q113" s="695">
        <v>0</v>
      </c>
      <c r="R113" s="680">
        <v>0</v>
      </c>
      <c r="S113" s="680">
        <v>0</v>
      </c>
      <c r="T113" s="680">
        <v>0</v>
      </c>
      <c r="U113" s="680">
        <v>0</v>
      </c>
      <c r="V113" s="680">
        <v>0</v>
      </c>
      <c r="W113" s="681">
        <v>0</v>
      </c>
      <c r="X113">
        <v>0</v>
      </c>
      <c r="Y113">
        <v>0</v>
      </c>
    </row>
    <row r="114" spans="1:25">
      <c r="A114" s="182"/>
      <c r="B114" s="31" t="s">
        <v>12</v>
      </c>
      <c r="C114" s="694">
        <v>655638</v>
      </c>
      <c r="D114" s="107">
        <v>0</v>
      </c>
      <c r="E114" s="107">
        <v>270446</v>
      </c>
      <c r="F114" s="107">
        <v>0</v>
      </c>
      <c r="G114" s="107">
        <v>232460.5</v>
      </c>
      <c r="H114" s="107">
        <v>359472.2</v>
      </c>
      <c r="I114" s="694">
        <v>1518016.7</v>
      </c>
      <c r="J114" s="694">
        <v>148566</v>
      </c>
      <c r="K114" s="107">
        <v>0</v>
      </c>
      <c r="L114" s="107">
        <v>71665.7</v>
      </c>
      <c r="M114" s="107">
        <v>365477.39999999997</v>
      </c>
      <c r="N114" s="694">
        <v>585709.1</v>
      </c>
      <c r="O114" s="694">
        <v>0</v>
      </c>
      <c r="P114" s="107">
        <v>0</v>
      </c>
      <c r="Q114" s="694">
        <v>0</v>
      </c>
      <c r="R114" s="678">
        <v>0</v>
      </c>
      <c r="S114" s="678">
        <v>0</v>
      </c>
      <c r="T114" s="678">
        <v>0</v>
      </c>
      <c r="U114" s="678">
        <v>0</v>
      </c>
      <c r="V114" s="678">
        <v>0</v>
      </c>
      <c r="W114" s="679">
        <v>0</v>
      </c>
      <c r="X114">
        <v>0</v>
      </c>
      <c r="Y114">
        <v>0</v>
      </c>
    </row>
    <row r="115" spans="1:25">
      <c r="A115" s="182"/>
      <c r="B115" s="31" t="s">
        <v>16</v>
      </c>
      <c r="C115" s="694">
        <v>3023</v>
      </c>
      <c r="D115" s="107">
        <v>0</v>
      </c>
      <c r="E115" s="107">
        <v>4055</v>
      </c>
      <c r="F115" s="107">
        <v>0</v>
      </c>
      <c r="G115" s="107">
        <v>108</v>
      </c>
      <c r="H115" s="107">
        <v>7674</v>
      </c>
      <c r="I115" s="694">
        <v>14860</v>
      </c>
      <c r="J115" s="694">
        <v>5743</v>
      </c>
      <c r="K115" s="107">
        <v>0</v>
      </c>
      <c r="L115" s="107">
        <v>3170.5</v>
      </c>
      <c r="M115" s="107">
        <v>13709.3</v>
      </c>
      <c r="N115" s="694">
        <v>22622.799999999999</v>
      </c>
      <c r="O115" s="694">
        <v>0</v>
      </c>
      <c r="P115" s="107">
        <v>0</v>
      </c>
      <c r="Q115" s="694">
        <v>0</v>
      </c>
      <c r="R115" s="678">
        <v>0</v>
      </c>
      <c r="S115" s="678">
        <v>0</v>
      </c>
      <c r="T115" s="678">
        <v>0</v>
      </c>
      <c r="U115" s="678">
        <v>0</v>
      </c>
      <c r="V115" s="678">
        <v>0</v>
      </c>
      <c r="W115" s="679">
        <v>0</v>
      </c>
      <c r="X115">
        <v>0</v>
      </c>
      <c r="Y115">
        <v>0</v>
      </c>
    </row>
    <row r="116" spans="1:25">
      <c r="A116" s="182"/>
      <c r="B116" s="223" t="s">
        <v>19</v>
      </c>
      <c r="C116" s="695">
        <v>4.6107760685012156E-3</v>
      </c>
      <c r="D116" s="697">
        <v>0</v>
      </c>
      <c r="E116" s="697">
        <v>1.4993751063058799E-2</v>
      </c>
      <c r="F116" s="697">
        <v>0</v>
      </c>
      <c r="G116" s="697">
        <v>4.6459506023604011E-4</v>
      </c>
      <c r="H116" s="697">
        <v>2.1347965155580875E-2</v>
      </c>
      <c r="I116" s="695">
        <v>9.7890886180632929E-3</v>
      </c>
      <c r="J116" s="695">
        <v>3.8656220131120175E-2</v>
      </c>
      <c r="K116" s="697">
        <v>0</v>
      </c>
      <c r="L116" s="697">
        <v>4.4240131611077545E-2</v>
      </c>
      <c r="M116" s="697">
        <v>3.7510664134088732E-2</v>
      </c>
      <c r="N116" s="695">
        <v>3.8624634652253138E-2</v>
      </c>
      <c r="O116" s="695">
        <v>0</v>
      </c>
      <c r="P116" s="697">
        <v>0</v>
      </c>
      <c r="Q116" s="695">
        <v>0</v>
      </c>
      <c r="R116" s="682">
        <v>0</v>
      </c>
      <c r="S116" s="682">
        <v>0</v>
      </c>
      <c r="T116" s="682">
        <v>0</v>
      </c>
      <c r="U116" s="682">
        <v>0</v>
      </c>
      <c r="V116" s="682">
        <v>0</v>
      </c>
      <c r="W116" s="683">
        <v>0</v>
      </c>
      <c r="X116">
        <v>0</v>
      </c>
      <c r="Y116">
        <v>0</v>
      </c>
    </row>
    <row r="117" spans="1:25">
      <c r="A117" s="182"/>
      <c r="B117" s="243" t="s">
        <v>982</v>
      </c>
      <c r="C117" s="696">
        <v>1.8297838885991506E-4</v>
      </c>
      <c r="D117" s="698">
        <v>0</v>
      </c>
      <c r="E117" s="698">
        <v>-1.2040291710311134E-3</v>
      </c>
      <c r="F117" s="698">
        <v>0</v>
      </c>
      <c r="G117" s="698">
        <v>1.4746779880371092E-4</v>
      </c>
      <c r="H117" s="698">
        <v>-4.0480703148148417E-4</v>
      </c>
      <c r="I117" s="696">
        <v>-2.928242639678863E-4</v>
      </c>
      <c r="J117" s="696">
        <v>-1.2994514379327041E-3</v>
      </c>
      <c r="K117" s="698">
        <v>0</v>
      </c>
      <c r="L117" s="698">
        <v>4.1182005931465898E-3</v>
      </c>
      <c r="M117" s="698">
        <v>-3.2060245307478225E-3</v>
      </c>
      <c r="N117" s="696">
        <v>-1.8193058150157357E-3</v>
      </c>
      <c r="O117" s="696">
        <v>0</v>
      </c>
      <c r="P117" s="698">
        <v>0</v>
      </c>
      <c r="Q117" s="696">
        <v>0</v>
      </c>
      <c r="R117" s="684">
        <v>0</v>
      </c>
      <c r="S117" s="684">
        <v>0</v>
      </c>
      <c r="T117" s="684">
        <v>0</v>
      </c>
      <c r="U117" s="684">
        <v>0</v>
      </c>
      <c r="V117" s="684">
        <v>0</v>
      </c>
      <c r="W117" s="685">
        <v>0</v>
      </c>
      <c r="X117">
        <v>0</v>
      </c>
      <c r="Y117">
        <v>0</v>
      </c>
    </row>
    <row r="118" spans="1:25">
      <c r="A118" s="702" t="s">
        <v>13</v>
      </c>
      <c r="B118" s="703"/>
      <c r="C118" s="704">
        <v>22090399</v>
      </c>
      <c r="D118" s="705">
        <v>4645316</v>
      </c>
      <c r="E118" s="705">
        <v>14187302.5</v>
      </c>
      <c r="F118" s="705">
        <v>4558434.7</v>
      </c>
      <c r="G118" s="705">
        <v>3203436.5</v>
      </c>
      <c r="H118" s="705">
        <v>1925328.2</v>
      </c>
      <c r="I118" s="704">
        <v>50610216.899999999</v>
      </c>
      <c r="J118" s="704">
        <v>23001092</v>
      </c>
      <c r="K118" s="705">
        <v>39517409.299999997</v>
      </c>
      <c r="L118" s="705">
        <v>15337209.9</v>
      </c>
      <c r="M118" s="705">
        <v>4399796.2</v>
      </c>
      <c r="N118" s="704">
        <v>82255507.400000006</v>
      </c>
      <c r="O118" s="704">
        <v>6215245</v>
      </c>
      <c r="P118" s="705">
        <v>6215245</v>
      </c>
      <c r="Q118" s="704">
        <v>3552975.8663000003</v>
      </c>
      <c r="R118" s="676">
        <v>79335</v>
      </c>
      <c r="S118" s="676">
        <v>3632310.8663000003</v>
      </c>
      <c r="T118" s="676">
        <v>4130947</v>
      </c>
      <c r="U118" s="676">
        <v>4130947</v>
      </c>
      <c r="V118" s="676">
        <v>1796574</v>
      </c>
      <c r="W118" s="677">
        <v>1796574</v>
      </c>
      <c r="X118">
        <v>0</v>
      </c>
      <c r="Y118">
        <v>0</v>
      </c>
    </row>
    <row r="119" spans="1:25">
      <c r="A119" s="702" t="s">
        <v>20</v>
      </c>
      <c r="B119" s="706"/>
      <c r="C119" s="707">
        <v>47592.5</v>
      </c>
      <c r="D119" s="666">
        <v>26169.5</v>
      </c>
      <c r="E119" s="666">
        <v>110949</v>
      </c>
      <c r="F119" s="666">
        <v>42257</v>
      </c>
      <c r="G119" s="666">
        <v>20839</v>
      </c>
      <c r="H119" s="666">
        <v>26400</v>
      </c>
      <c r="I119" s="707">
        <v>274207</v>
      </c>
      <c r="J119" s="707">
        <v>408018</v>
      </c>
      <c r="K119" s="666">
        <v>1278633</v>
      </c>
      <c r="L119" s="666">
        <v>988186</v>
      </c>
      <c r="M119" s="666">
        <v>297873.7</v>
      </c>
      <c r="N119" s="707">
        <v>2972710.7</v>
      </c>
      <c r="O119" s="707">
        <v>552208</v>
      </c>
      <c r="P119" s="666">
        <v>552208</v>
      </c>
      <c r="Q119" s="707">
        <v>165023.9</v>
      </c>
      <c r="R119" s="678">
        <v>1254</v>
      </c>
      <c r="S119" s="678">
        <v>166277.9</v>
      </c>
      <c r="T119" s="678">
        <v>201866</v>
      </c>
      <c r="U119" s="678">
        <v>201866</v>
      </c>
      <c r="V119" s="678">
        <v>301578</v>
      </c>
      <c r="W119" s="679">
        <v>301578</v>
      </c>
      <c r="X119">
        <v>0</v>
      </c>
      <c r="Y119">
        <v>0</v>
      </c>
    </row>
    <row r="120" spans="1:25">
      <c r="A120" s="702" t="s">
        <v>22</v>
      </c>
      <c r="B120" s="708"/>
      <c r="C120" s="709">
        <v>2.1544427513509375E-3</v>
      </c>
      <c r="D120" s="710">
        <v>5.6335241779030751E-3</v>
      </c>
      <c r="E120" s="710">
        <v>7.8203026967247641E-3</v>
      </c>
      <c r="F120" s="710">
        <v>9.2700680784129682E-3</v>
      </c>
      <c r="G120" s="710">
        <v>6.5052015234264831E-3</v>
      </c>
      <c r="H120" s="710">
        <v>1.3711947916204625E-2</v>
      </c>
      <c r="I120" s="709">
        <v>5.4180166929891187E-3</v>
      </c>
      <c r="J120" s="709">
        <v>1.773907082324613E-2</v>
      </c>
      <c r="K120" s="710">
        <v>3.2356194969491589E-2</v>
      </c>
      <c r="L120" s="710">
        <v>6.4430623721202382E-2</v>
      </c>
      <c r="M120" s="710">
        <v>6.7701704001653526E-2</v>
      </c>
      <c r="N120" s="709">
        <v>3.6139959425987321E-2</v>
      </c>
      <c r="O120" s="709">
        <v>8.8847342301067778E-2</v>
      </c>
      <c r="P120" s="710">
        <v>8.8847342301067778E-2</v>
      </c>
      <c r="Q120" s="709">
        <v>4.6446670681119108E-2</v>
      </c>
      <c r="R120" s="680">
        <v>1.5806390622045755E-2</v>
      </c>
      <c r="S120" s="680">
        <v>4.577744199779258E-2</v>
      </c>
      <c r="T120" s="680">
        <v>4.8866761059873198E-2</v>
      </c>
      <c r="U120" s="680">
        <v>4.8866761059873198E-2</v>
      </c>
      <c r="V120" s="680">
        <v>0.16786283225739657</v>
      </c>
      <c r="W120" s="681">
        <v>0.16786283225739657</v>
      </c>
      <c r="X120">
        <v>0</v>
      </c>
      <c r="Y120">
        <v>0</v>
      </c>
    </row>
    <row r="121" spans="1:25">
      <c r="A121" s="702" t="s">
        <v>14</v>
      </c>
      <c r="B121" s="706"/>
      <c r="C121" s="707">
        <v>22155974.100000001</v>
      </c>
      <c r="D121" s="666">
        <v>4754138.5</v>
      </c>
      <c r="E121" s="666">
        <v>14421648.5</v>
      </c>
      <c r="F121" s="666">
        <v>4533133.9000000004</v>
      </c>
      <c r="G121" s="666">
        <v>3219149.5</v>
      </c>
      <c r="H121" s="666">
        <v>1949366.2</v>
      </c>
      <c r="I121" s="707">
        <v>51033410.700000003</v>
      </c>
      <c r="J121" s="707">
        <v>18652029</v>
      </c>
      <c r="K121" s="666">
        <v>38203726.789999999</v>
      </c>
      <c r="L121" s="666">
        <v>14493329.120000001</v>
      </c>
      <c r="M121" s="666">
        <v>4342709.6500000004</v>
      </c>
      <c r="N121" s="707">
        <v>75691794.560000002</v>
      </c>
      <c r="O121" s="707">
        <v>6387805</v>
      </c>
      <c r="P121" s="666">
        <v>6387805</v>
      </c>
      <c r="Q121" s="707">
        <v>3654027.5000000009</v>
      </c>
      <c r="R121" s="678">
        <v>74055</v>
      </c>
      <c r="S121" s="678">
        <v>3728082.5000000005</v>
      </c>
      <c r="T121" s="678">
        <v>4282580</v>
      </c>
      <c r="U121" s="678">
        <v>4282580</v>
      </c>
      <c r="V121" s="678">
        <v>1807867</v>
      </c>
      <c r="W121" s="679">
        <v>1807867</v>
      </c>
      <c r="X121">
        <v>116692</v>
      </c>
      <c r="Y121">
        <v>116692</v>
      </c>
    </row>
    <row r="122" spans="1:25">
      <c r="A122" s="702" t="s">
        <v>21</v>
      </c>
      <c r="B122" s="706"/>
      <c r="C122" s="707">
        <v>71283.5</v>
      </c>
      <c r="D122" s="666">
        <v>29296</v>
      </c>
      <c r="E122" s="666">
        <v>132327</v>
      </c>
      <c r="F122" s="666">
        <v>46967</v>
      </c>
      <c r="G122" s="666">
        <v>26141</v>
      </c>
      <c r="H122" s="666">
        <v>30865</v>
      </c>
      <c r="I122" s="707">
        <v>336879.5</v>
      </c>
      <c r="J122" s="707">
        <v>424939</v>
      </c>
      <c r="K122" s="666">
        <v>1385613</v>
      </c>
      <c r="L122" s="666">
        <v>1100525</v>
      </c>
      <c r="M122" s="666">
        <v>360897.3</v>
      </c>
      <c r="N122" s="707">
        <v>3271974.3</v>
      </c>
      <c r="O122" s="707">
        <v>706167</v>
      </c>
      <c r="P122" s="666">
        <v>706167</v>
      </c>
      <c r="Q122" s="707">
        <v>134167.5</v>
      </c>
      <c r="R122" s="678">
        <v>1566</v>
      </c>
      <c r="S122" s="678">
        <v>135733.5</v>
      </c>
      <c r="T122" s="678">
        <v>244674</v>
      </c>
      <c r="U122" s="678">
        <v>244674</v>
      </c>
      <c r="V122" s="678">
        <v>395778</v>
      </c>
      <c r="W122" s="679">
        <v>395778</v>
      </c>
      <c r="X122">
        <v>0</v>
      </c>
      <c r="Y122">
        <v>0</v>
      </c>
    </row>
    <row r="123" spans="1:25">
      <c r="A123" s="702" t="s">
        <v>23</v>
      </c>
      <c r="B123" s="711"/>
      <c r="C123" s="709">
        <v>3.2173489496902779E-3</v>
      </c>
      <c r="D123" s="710">
        <v>6.1622100407886732E-3</v>
      </c>
      <c r="E123" s="710">
        <v>9.1755807250467926E-3</v>
      </c>
      <c r="F123" s="710">
        <v>1.036082344710797E-2</v>
      </c>
      <c r="G123" s="710">
        <v>8.1204678440687517E-3</v>
      </c>
      <c r="H123" s="710">
        <v>1.5833351373384846E-2</v>
      </c>
      <c r="I123" s="709">
        <v>6.6011558972679041E-3</v>
      </c>
      <c r="J123" s="709">
        <v>2.2782454391423047E-2</v>
      </c>
      <c r="K123" s="710">
        <v>3.626905321610379E-2</v>
      </c>
      <c r="L123" s="710">
        <v>7.5933209746912853E-2</v>
      </c>
      <c r="M123" s="710">
        <v>8.3104174371869399E-2</v>
      </c>
      <c r="N123" s="709">
        <v>4.3227595791857518E-2</v>
      </c>
      <c r="O123" s="709">
        <v>0.1105492418757304</v>
      </c>
      <c r="P123" s="710">
        <v>0.1105492418757304</v>
      </c>
      <c r="Q123" s="709">
        <v>3.6717703958166696E-2</v>
      </c>
      <c r="R123" s="682">
        <v>2.1146445209641481E-2</v>
      </c>
      <c r="S123" s="682">
        <v>3.6408394932247339E-2</v>
      </c>
      <c r="T123" s="682">
        <v>5.7132382815966075E-2</v>
      </c>
      <c r="U123" s="682">
        <v>5.7132382815966075E-2</v>
      </c>
      <c r="V123" s="682">
        <v>0.21891986523344914</v>
      </c>
      <c r="W123" s="683">
        <v>0.21891986523344914</v>
      </c>
      <c r="X123">
        <v>0</v>
      </c>
      <c r="Y123">
        <v>0</v>
      </c>
    </row>
    <row r="124" spans="1:25">
      <c r="A124" s="702" t="s">
        <v>983</v>
      </c>
      <c r="B124" s="712"/>
      <c r="C124" s="713">
        <v>1.0629061983393404E-3</v>
      </c>
      <c r="D124" s="714">
        <v>5.2868586288559814E-4</v>
      </c>
      <c r="E124" s="714">
        <v>1.3552780283220284E-3</v>
      </c>
      <c r="F124" s="714">
        <v>1.0907553686950022E-3</v>
      </c>
      <c r="G124" s="714">
        <v>1.6152663206422686E-3</v>
      </c>
      <c r="H124" s="714">
        <v>2.1214034571802216E-3</v>
      </c>
      <c r="I124" s="713">
        <v>1.1831392042787854E-3</v>
      </c>
      <c r="J124" s="713">
        <v>5.0433835681769172E-3</v>
      </c>
      <c r="K124" s="714">
        <v>3.9128582466122011E-3</v>
      </c>
      <c r="L124" s="714">
        <v>1.1502586025710471E-2</v>
      </c>
      <c r="M124" s="714">
        <v>1.5402470370215873E-2</v>
      </c>
      <c r="N124" s="713">
        <v>7.0876363658701966E-3</v>
      </c>
      <c r="O124" s="713">
        <v>2.170189957466262E-2</v>
      </c>
      <c r="P124" s="714">
        <v>2.170189957466262E-2</v>
      </c>
      <c r="Q124" s="713">
        <v>-9.7289667229524118E-3</v>
      </c>
      <c r="R124" s="699">
        <v>5.3400545875957259E-3</v>
      </c>
      <c r="S124" s="699">
        <v>-9.3690470655452412E-3</v>
      </c>
      <c r="T124" s="699">
        <v>8.2656217560928766E-3</v>
      </c>
      <c r="U124" s="699">
        <v>8.2656217560928766E-3</v>
      </c>
      <c r="V124" s="699">
        <v>5.1057032976052574E-2</v>
      </c>
      <c r="W124" s="700">
        <v>5.1057032976052574E-2</v>
      </c>
      <c r="X124">
        <v>0</v>
      </c>
      <c r="Y124">
        <v>0</v>
      </c>
    </row>
    <row r="125" spans="1:25">
      <c r="A125" s="715" t="s">
        <v>984</v>
      </c>
      <c r="B125"/>
      <c r="C125" s="630"/>
      <c r="D125" s="630"/>
      <c r="E125" s="630"/>
      <c r="F125" s="630"/>
      <c r="G125" s="630"/>
      <c r="H125" s="630"/>
      <c r="I125" s="630"/>
      <c r="J125" s="630"/>
      <c r="K125" s="630"/>
      <c r="L125" s="630"/>
      <c r="M125" s="630"/>
      <c r="N125" s="630"/>
      <c r="O125" s="630"/>
      <c r="P125" s="630"/>
      <c r="Q125" s="630"/>
      <c r="R125"/>
      <c r="S125"/>
      <c r="T125"/>
      <c r="U125"/>
      <c r="V125"/>
      <c r="W125"/>
      <c r="X125"/>
      <c r="Y125"/>
    </row>
    <row r="126" spans="1:25">
      <c r="A126"/>
      <c r="B126"/>
      <c r="C126" s="630"/>
      <c r="D126" s="630"/>
      <c r="E126" s="630"/>
      <c r="F126" s="630"/>
      <c r="G126" s="630"/>
      <c r="H126" s="630"/>
      <c r="I126" s="630"/>
      <c r="J126" s="630"/>
      <c r="K126" s="630"/>
      <c r="L126" s="630"/>
      <c r="M126" s="630"/>
      <c r="N126" s="630"/>
      <c r="O126" s="630"/>
      <c r="P126" s="630"/>
      <c r="Q126" s="630"/>
      <c r="R126"/>
      <c r="S126"/>
      <c r="T126"/>
      <c r="U126"/>
      <c r="V126"/>
      <c r="W126"/>
      <c r="X126"/>
      <c r="Y126"/>
    </row>
    <row r="127" spans="1:25">
      <c r="A127"/>
      <c r="B127"/>
      <c r="C127" s="630"/>
      <c r="D127" s="630"/>
      <c r="E127" s="630"/>
      <c r="F127" s="630"/>
      <c r="G127" s="630"/>
      <c r="H127" s="630"/>
      <c r="I127" s="630"/>
      <c r="J127" s="630"/>
      <c r="K127" s="630"/>
      <c r="L127" s="630"/>
      <c r="M127" s="630"/>
      <c r="N127" s="630"/>
      <c r="O127" s="630"/>
      <c r="P127" s="630"/>
      <c r="Q127" s="630"/>
      <c r="R127"/>
      <c r="S127"/>
      <c r="T127"/>
      <c r="U127"/>
      <c r="V127"/>
      <c r="W127"/>
      <c r="X127"/>
      <c r="Y127"/>
    </row>
    <row r="128" spans="1:25">
      <c r="A128"/>
      <c r="B128"/>
      <c r="C128" s="630"/>
      <c r="D128" s="630"/>
      <c r="E128" s="630"/>
      <c r="F128" s="630"/>
      <c r="G128" s="630"/>
      <c r="H128" s="630"/>
      <c r="I128" s="630"/>
      <c r="J128" s="630"/>
      <c r="K128" s="630"/>
      <c r="L128" s="630"/>
      <c r="M128" s="630"/>
      <c r="N128" s="630"/>
      <c r="O128" s="630"/>
      <c r="P128" s="630"/>
      <c r="Q128" s="630"/>
      <c r="R128"/>
      <c r="S128"/>
      <c r="T128"/>
      <c r="U128"/>
      <c r="V128"/>
      <c r="W128"/>
      <c r="X128"/>
      <c r="Y128"/>
    </row>
    <row r="129" spans="1:25">
      <c r="A129"/>
      <c r="B129"/>
      <c r="C129" s="630"/>
      <c r="D129" s="630"/>
      <c r="E129" s="630"/>
      <c r="F129" s="630"/>
      <c r="G129" s="630"/>
      <c r="H129" s="630"/>
      <c r="I129" s="630"/>
      <c r="J129" s="630"/>
      <c r="K129" s="630"/>
      <c r="L129" s="630"/>
      <c r="M129" s="630"/>
      <c r="N129" s="630"/>
      <c r="O129" s="630"/>
      <c r="P129" s="630"/>
      <c r="Q129" s="630"/>
      <c r="R129"/>
      <c r="S129"/>
      <c r="T129"/>
      <c r="U129"/>
      <c r="V129"/>
      <c r="W129"/>
      <c r="X129"/>
      <c r="Y129"/>
    </row>
    <row r="130" spans="1:25">
      <c r="A130"/>
      <c r="B130"/>
      <c r="C130" s="630"/>
      <c r="D130" s="630"/>
      <c r="E130" s="630"/>
      <c r="F130" s="630"/>
      <c r="G130" s="630"/>
      <c r="H130" s="630"/>
      <c r="I130" s="630"/>
      <c r="J130" s="630"/>
      <c r="K130" s="630"/>
      <c r="L130" s="630"/>
      <c r="M130" s="630"/>
      <c r="N130" s="630"/>
      <c r="O130" s="630"/>
      <c r="P130" s="630"/>
      <c r="Q130" s="630"/>
      <c r="R130"/>
      <c r="S130"/>
      <c r="T130"/>
      <c r="U130"/>
      <c r="V130"/>
      <c r="W130"/>
      <c r="X130"/>
      <c r="Y130"/>
    </row>
    <row r="131" spans="1:25">
      <c r="A131"/>
      <c r="B131"/>
      <c r="C131" s="630"/>
      <c r="D131" s="630"/>
      <c r="E131" s="630"/>
      <c r="F131" s="630"/>
      <c r="G131" s="630"/>
      <c r="H131" s="630"/>
      <c r="I131" s="630"/>
      <c r="J131" s="630"/>
      <c r="K131" s="630"/>
      <c r="L131" s="630"/>
      <c r="M131" s="630"/>
      <c r="N131" s="630"/>
      <c r="O131" s="630"/>
      <c r="P131" s="630"/>
      <c r="Q131" s="630"/>
      <c r="R131"/>
      <c r="S131"/>
      <c r="T131"/>
      <c r="U131"/>
      <c r="V131"/>
      <c r="W131"/>
      <c r="X131"/>
      <c r="Y131"/>
    </row>
    <row r="132" spans="1:25">
      <c r="A132"/>
      <c r="B132"/>
      <c r="C132" s="630"/>
      <c r="D132" s="630"/>
      <c r="E132" s="630"/>
      <c r="F132" s="630"/>
      <c r="G132" s="630"/>
      <c r="H132" s="630"/>
      <c r="I132" s="630"/>
      <c r="J132" s="630"/>
      <c r="K132" s="630"/>
      <c r="L132" s="630"/>
      <c r="M132" s="630"/>
      <c r="N132" s="630"/>
      <c r="O132" s="630"/>
      <c r="P132" s="630"/>
      <c r="Q132" s="630"/>
      <c r="R132"/>
      <c r="S132"/>
      <c r="T132"/>
    </row>
    <row r="133" spans="1:25">
      <c r="A133"/>
      <c r="B133"/>
      <c r="C133" s="630"/>
      <c r="D133" s="630"/>
      <c r="E133" s="630"/>
      <c r="F133" s="630"/>
      <c r="G133" s="630"/>
      <c r="H133" s="630"/>
      <c r="I133" s="630"/>
      <c r="J133" s="630"/>
      <c r="K133" s="630"/>
      <c r="L133" s="630"/>
      <c r="M133" s="630"/>
      <c r="N133" s="630"/>
      <c r="O133" s="630"/>
      <c r="P133" s="630"/>
      <c r="Q133" s="630"/>
      <c r="R133"/>
      <c r="S133"/>
      <c r="T133"/>
    </row>
    <row r="134" spans="1:25">
      <c r="A134"/>
      <c r="B134"/>
      <c r="C134" s="630"/>
      <c r="D134" s="630"/>
      <c r="E134" s="630"/>
      <c r="F134" s="630"/>
      <c r="G134" s="630"/>
      <c r="H134" s="630"/>
      <c r="I134" s="630"/>
      <c r="J134" s="630"/>
      <c r="K134" s="630"/>
      <c r="L134" s="630"/>
      <c r="M134" s="630"/>
      <c r="N134" s="630"/>
      <c r="O134" s="630"/>
      <c r="P134" s="630"/>
      <c r="Q134" s="630"/>
      <c r="R134"/>
      <c r="S134"/>
      <c r="T134"/>
    </row>
    <row r="135" spans="1:25">
      <c r="A135"/>
      <c r="B135"/>
      <c r="C135" s="630"/>
      <c r="D135" s="630"/>
      <c r="E135" s="630"/>
      <c r="F135" s="630"/>
      <c r="G135" s="630"/>
      <c r="H135" s="630"/>
      <c r="I135" s="630"/>
      <c r="J135" s="630"/>
      <c r="K135" s="630"/>
      <c r="L135" s="630"/>
      <c r="M135" s="630"/>
      <c r="N135" s="630"/>
      <c r="O135" s="630"/>
      <c r="P135" s="630"/>
      <c r="Q135" s="630"/>
      <c r="R135"/>
      <c r="S135"/>
      <c r="T135"/>
    </row>
    <row r="136" spans="1:25">
      <c r="A136"/>
      <c r="B136"/>
      <c r="C136" s="630"/>
      <c r="D136" s="630"/>
      <c r="E136" s="630"/>
      <c r="F136" s="630"/>
      <c r="G136" s="630"/>
      <c r="H136" s="630"/>
      <c r="I136" s="630"/>
      <c r="J136" s="630"/>
      <c r="K136" s="630"/>
      <c r="L136" s="630"/>
      <c r="M136" s="630"/>
      <c r="N136" s="630"/>
      <c r="O136" s="630"/>
      <c r="P136" s="630"/>
      <c r="Q136" s="630"/>
      <c r="R136"/>
      <c r="S136"/>
      <c r="T136"/>
    </row>
    <row r="137" spans="1:25">
      <c r="A137"/>
      <c r="B137"/>
      <c r="C137" s="630"/>
      <c r="D137" s="630"/>
      <c r="E137" s="630"/>
      <c r="F137" s="630"/>
      <c r="G137" s="630"/>
      <c r="H137" s="630"/>
      <c r="I137" s="630"/>
      <c r="J137" s="630"/>
      <c r="K137" s="630"/>
      <c r="L137" s="630"/>
      <c r="M137" s="630"/>
      <c r="N137" s="630"/>
      <c r="O137" s="630"/>
      <c r="P137" s="630"/>
      <c r="Q137" s="630"/>
      <c r="R137"/>
      <c r="S137"/>
      <c r="T137"/>
    </row>
    <row r="138" spans="1:25">
      <c r="A138"/>
      <c r="B138"/>
      <c r="C138" s="630"/>
      <c r="D138" s="630"/>
      <c r="E138" s="630"/>
      <c r="F138" s="630"/>
      <c r="G138" s="630"/>
      <c r="H138" s="630"/>
      <c r="I138" s="630"/>
      <c r="J138" s="630"/>
      <c r="K138" s="630"/>
      <c r="L138" s="630"/>
      <c r="M138" s="630"/>
      <c r="N138" s="630"/>
      <c r="O138" s="630"/>
      <c r="P138" s="630"/>
      <c r="Q138" s="630"/>
      <c r="R138"/>
      <c r="S138"/>
      <c r="T138"/>
    </row>
    <row r="139" spans="1:25">
      <c r="A139"/>
      <c r="B139"/>
      <c r="C139" s="630"/>
      <c r="D139" s="630"/>
      <c r="E139" s="630"/>
      <c r="F139" s="630"/>
      <c r="G139" s="630"/>
      <c r="H139" s="630"/>
      <c r="I139" s="630"/>
      <c r="J139" s="630"/>
      <c r="K139" s="630"/>
      <c r="L139" s="630"/>
      <c r="M139" s="630"/>
      <c r="N139" s="630"/>
      <c r="O139" s="630"/>
      <c r="P139" s="630"/>
      <c r="Q139" s="630"/>
      <c r="R139"/>
      <c r="S139"/>
      <c r="T139"/>
    </row>
    <row r="140" spans="1:25">
      <c r="A140"/>
      <c r="B140"/>
      <c r="C140" s="630"/>
      <c r="D140" s="630"/>
      <c r="E140" s="630"/>
      <c r="F140" s="630"/>
      <c r="G140" s="630"/>
      <c r="H140" s="630"/>
      <c r="I140" s="630"/>
      <c r="J140" s="630"/>
      <c r="K140" s="630"/>
      <c r="L140" s="630"/>
      <c r="M140" s="630"/>
      <c r="N140" s="630"/>
      <c r="O140" s="630"/>
      <c r="P140" s="630"/>
      <c r="Q140" s="630"/>
      <c r="R140"/>
      <c r="S140"/>
      <c r="T140"/>
    </row>
    <row r="141" spans="1:25">
      <c r="A141"/>
      <c r="B141"/>
      <c r="C141" s="630"/>
      <c r="D141" s="630"/>
      <c r="E141" s="630"/>
      <c r="F141" s="630"/>
      <c r="G141" s="630"/>
      <c r="H141" s="630"/>
      <c r="I141" s="630"/>
      <c r="J141" s="630"/>
      <c r="K141" s="630"/>
      <c r="L141" s="630"/>
      <c r="M141" s="630"/>
      <c r="N141" s="630"/>
      <c r="O141" s="630"/>
      <c r="P141" s="630"/>
      <c r="Q141" s="630"/>
      <c r="R141"/>
      <c r="S141"/>
      <c r="T141"/>
    </row>
  </sheetData>
  <phoneticPr fontId="0" type="noConversion"/>
  <pageMargins left="0.7" right="0.7" top="0.75" bottom="0.75" header="0.3" footer="0.3"/>
  <pageSetup scale="77" pageOrder="overThenDown" orientation="landscape" r:id="rId2"/>
  <headerFooter>
    <oddHeader>&amp;L&amp;"Arial,Bold"SREB-State Data Exchange&amp;C&amp;"Arial,Bold"Preliminary Tables&amp;R&amp;"Arial,Bold"Part 4  -- High School Student Portion of FTE Enrollment</oddHeader>
    <oddFooter>&amp;L&amp;"Arial,Bold"For Agency Review Only&amp;R&amp;"Arial,Bold"October 2009</oddFooter>
  </headerFooter>
  <rowBreaks count="15" manualBreakCount="15">
    <brk id="11" min="2" max="23" man="1"/>
    <brk id="17" min="2" max="23" man="1"/>
    <brk id="23" min="2" max="23" man="1"/>
    <brk id="29" min="2" max="23" man="1"/>
    <brk id="35" min="2" max="23" man="1"/>
    <brk id="41" min="2" max="23" man="1"/>
    <brk id="47" min="2" max="23" man="1"/>
    <brk id="53" min="2" max="23" man="1"/>
    <brk id="59" min="2" max="23" man="1"/>
    <brk id="65" min="2" max="23" man="1"/>
    <brk id="71" min="2" max="23" man="1"/>
    <brk id="77" min="2" max="23" man="1"/>
    <brk id="83" min="2" max="23" man="1"/>
    <brk id="89" min="2" max="23" man="1"/>
    <brk id="95" min="2" max="23" man="1"/>
  </rowBreaks>
  <colBreaks count="1" manualBreakCount="1">
    <brk id="9" min="5" max="100"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12"/>
  </sheetPr>
  <dimension ref="A1:BA696"/>
  <sheetViews>
    <sheetView zoomScale="80" zoomScaleNormal="80" workbookViewId="0">
      <pane xSplit="5" ySplit="6" topLeftCell="AX642" activePane="bottomRight" state="frozen"/>
      <selection pane="topRight" activeCell="F1" sqref="F1"/>
      <selection pane="bottomLeft" activeCell="A7" sqref="A7"/>
      <selection pane="bottomRight" activeCell="BG675" sqref="BG675"/>
    </sheetView>
  </sheetViews>
  <sheetFormatPr defaultRowHeight="12.75"/>
  <cols>
    <col min="1" max="1" width="6.5" style="156" customWidth="1"/>
    <col min="2" max="2" width="48.1640625" style="156" customWidth="1"/>
    <col min="3" max="3" width="15.5" style="156" customWidth="1"/>
    <col min="4" max="4" width="11.1640625" style="158" customWidth="1"/>
    <col min="5" max="5" width="11.1640625" style="159" customWidth="1"/>
    <col min="6" max="6" width="10.6640625" style="160" customWidth="1"/>
    <col min="7" max="7" width="8.83203125" style="161" customWidth="1"/>
    <col min="8" max="8" width="10.83203125" style="162" customWidth="1"/>
    <col min="9" max="9" width="12.5" style="157" customWidth="1"/>
    <col min="10" max="10" width="12.6640625" style="162" customWidth="1"/>
    <col min="11" max="11" width="12.5" style="157" customWidth="1"/>
    <col min="12" max="12" width="12.33203125" style="162" customWidth="1"/>
    <col min="13" max="13" width="12.1640625" style="157" customWidth="1"/>
    <col min="14" max="14" width="12.6640625" style="162" customWidth="1"/>
    <col min="15" max="15" width="12.6640625" style="157" customWidth="1"/>
    <col min="16" max="16" width="11.6640625" style="162" customWidth="1"/>
    <col min="17" max="17" width="10.83203125" style="162" customWidth="1"/>
    <col min="18" max="18" width="13.1640625" style="157" customWidth="1"/>
    <col min="19" max="19" width="9.5" style="157" customWidth="1"/>
    <col min="20" max="20" width="10.6640625" style="157" customWidth="1"/>
    <col min="21" max="21" width="11.1640625" style="157" bestFit="1" customWidth="1"/>
    <col min="22" max="22" width="13.33203125" style="162" customWidth="1"/>
    <col min="23" max="23" width="12.1640625" style="162" customWidth="1"/>
    <col min="24" max="24" width="12.83203125" style="162" customWidth="1"/>
    <col min="25" max="25" width="12.1640625" style="157" customWidth="1"/>
    <col min="26" max="26" width="10.83203125" style="162" customWidth="1"/>
    <col min="27" max="27" width="11.83203125" style="157" customWidth="1"/>
    <col min="28" max="28" width="13.33203125" style="162" customWidth="1"/>
    <col min="29" max="29" width="12.33203125" style="157" customWidth="1"/>
    <col min="30" max="30" width="15.1640625" style="162" customWidth="1"/>
    <col min="31" max="31" width="18.1640625" style="157" customWidth="1"/>
    <col min="32" max="32" width="12.6640625" style="162" customWidth="1"/>
    <col min="33" max="33" width="12" style="162" customWidth="1"/>
    <col min="34" max="34" width="13" style="157" customWidth="1"/>
    <col min="35" max="35" width="10.83203125" style="157" customWidth="1"/>
    <col min="36" max="36" width="12.33203125" style="157" customWidth="1"/>
    <col min="37" max="37" width="12" style="157" customWidth="1"/>
    <col min="38" max="39" width="12.6640625" style="162" customWidth="1"/>
    <col min="40" max="40" width="10.83203125" style="162" customWidth="1"/>
    <col min="41" max="41" width="10.83203125" style="157" customWidth="1"/>
    <col min="42" max="42" width="10.83203125" style="162" customWidth="1"/>
    <col min="43" max="43" width="10.83203125" style="157" customWidth="1"/>
    <col min="44" max="44" width="10.83203125" style="162" customWidth="1"/>
    <col min="45" max="45" width="10.83203125" style="157" customWidth="1"/>
    <col min="46" max="46" width="10.83203125" style="162" customWidth="1"/>
    <col min="47" max="47" width="10.83203125" style="157" customWidth="1"/>
    <col min="48" max="48" width="12.5" style="162" customWidth="1"/>
    <col min="49" max="49" width="10.83203125" style="162" customWidth="1"/>
    <col min="50" max="50" width="12.5" style="157" customWidth="1"/>
    <col min="51" max="53" width="10.83203125" style="156" customWidth="1"/>
    <col min="54" max="16384" width="9.33203125" style="156"/>
  </cols>
  <sheetData>
    <row r="1" spans="1:53" s="85" customFormat="1">
      <c r="A1" s="339"/>
      <c r="B1" s="339"/>
      <c r="C1" s="339"/>
      <c r="D1" s="340"/>
      <c r="E1" s="341"/>
      <c r="F1" s="342"/>
      <c r="G1" s="343"/>
      <c r="H1" s="344"/>
      <c r="I1" s="345"/>
      <c r="J1" s="344"/>
      <c r="K1" s="345"/>
      <c r="L1" s="344"/>
      <c r="M1" s="345"/>
      <c r="N1" s="344"/>
      <c r="O1" s="345"/>
      <c r="P1" s="300">
        <f t="shared" ref="P1" si="0">SUM(H1,J1,L1,N1)</f>
        <v>0</v>
      </c>
      <c r="Q1" s="301">
        <f t="shared" ref="Q1" si="1">+P1/30</f>
        <v>0</v>
      </c>
      <c r="R1" s="302">
        <f t="shared" ref="R1" si="2">SUM(I1,K1,M1,O1)</f>
        <v>0</v>
      </c>
      <c r="S1" s="303">
        <f t="shared" ref="S1" si="3">+R1/30</f>
        <v>0</v>
      </c>
      <c r="T1" s="344"/>
      <c r="U1" s="345"/>
      <c r="V1" s="300">
        <f t="shared" ref="V1" si="4">IF(ISBLANK(T1),0,P1)</f>
        <v>0</v>
      </c>
      <c r="W1" s="304">
        <f>IF(ISBLANK(U1),0,R1)</f>
        <v>0</v>
      </c>
      <c r="X1" s="346"/>
      <c r="Y1" s="345"/>
      <c r="Z1" s="344"/>
      <c r="AA1" s="345"/>
      <c r="AB1" s="344"/>
      <c r="AC1" s="345"/>
      <c r="AD1" s="344"/>
      <c r="AE1" s="345"/>
      <c r="AF1" s="300">
        <f t="shared" ref="AF1" si="5">SUM(X1,Z1,AB1,AD1)</f>
        <v>0</v>
      </c>
      <c r="AG1" s="301">
        <f t="shared" ref="AG1" si="6">+AF1/900</f>
        <v>0</v>
      </c>
      <c r="AH1" s="302">
        <f t="shared" ref="AH1" si="7">SUM(Y1,AA1,AC1,AE1)</f>
        <v>0</v>
      </c>
      <c r="AI1" s="302">
        <f t="shared" ref="AI1" si="8">+AH1/900</f>
        <v>0</v>
      </c>
      <c r="AJ1" s="344"/>
      <c r="AK1" s="345"/>
      <c r="AL1" s="300">
        <f t="shared" ref="AL1" si="9">IF(ISBLANK(AJ1),0,AF1)</f>
        <v>0</v>
      </c>
      <c r="AM1" s="303">
        <f t="shared" ref="AM1" si="10">IF(ISBLANK(AK1),0,AH1)</f>
        <v>0</v>
      </c>
      <c r="AN1" s="344"/>
      <c r="AO1" s="344"/>
      <c r="AP1" s="344"/>
      <c r="AQ1" s="344"/>
      <c r="AR1" s="344"/>
      <c r="AS1" s="344"/>
      <c r="AT1" s="344"/>
      <c r="AU1" s="344"/>
      <c r="AV1" s="300">
        <f t="shared" ref="AV1" si="11">SUM(AN1,AP1,AR1,AT1)</f>
        <v>0</v>
      </c>
      <c r="AW1" s="308">
        <f t="shared" ref="AW1" si="12">+AV1/24</f>
        <v>0</v>
      </c>
      <c r="AX1" s="302">
        <f t="shared" ref="AX1" si="13">SUM(AO1,AQ1,AS1,AU1)</f>
        <v>0</v>
      </c>
      <c r="AY1" s="309">
        <f t="shared" ref="AY1" si="14">+AX1/24</f>
        <v>0</v>
      </c>
      <c r="AZ1" s="310">
        <f>SUM(Q1,AG1,AW1)</f>
        <v>0</v>
      </c>
      <c r="BA1" s="302">
        <f>SUM(S1,AI1,AY1)</f>
        <v>0</v>
      </c>
    </row>
    <row r="2" spans="1:53" ht="18.75" thickBot="1">
      <c r="A2" s="329" t="s">
        <v>263</v>
      </c>
      <c r="B2" s="329"/>
      <c r="C2" s="329"/>
      <c r="D2" s="329"/>
      <c r="E2" s="329"/>
    </row>
    <row r="3" spans="1:53" s="72" customFormat="1" ht="23.25" customHeight="1" thickTop="1">
      <c r="A3" s="330" t="s">
        <v>264</v>
      </c>
      <c r="B3" s="331"/>
      <c r="C3" s="331"/>
      <c r="D3" s="331"/>
      <c r="E3" s="331"/>
      <c r="F3" s="332"/>
      <c r="G3" s="333"/>
      <c r="H3" s="334" t="s">
        <v>123</v>
      </c>
      <c r="I3" s="316"/>
      <c r="J3" s="321"/>
      <c r="K3" s="335"/>
      <c r="L3" s="321"/>
      <c r="M3" s="335"/>
      <c r="N3" s="321"/>
      <c r="O3" s="335"/>
      <c r="P3" s="316" t="s">
        <v>126</v>
      </c>
      <c r="Q3" s="316"/>
      <c r="R3" s="316"/>
      <c r="S3" s="316"/>
      <c r="T3" s="213"/>
      <c r="U3" s="147"/>
      <c r="V3" s="316" t="s">
        <v>126</v>
      </c>
      <c r="W3" s="318"/>
      <c r="X3" s="320" t="s">
        <v>124</v>
      </c>
      <c r="Y3" s="316"/>
      <c r="Z3" s="321"/>
      <c r="AA3" s="335"/>
      <c r="AB3" s="321"/>
      <c r="AC3" s="335"/>
      <c r="AD3" s="321"/>
      <c r="AE3" s="335"/>
      <c r="AF3" s="316" t="s">
        <v>126</v>
      </c>
      <c r="AG3" s="316"/>
      <c r="AH3" s="316"/>
      <c r="AI3" s="316"/>
      <c r="AJ3" s="213"/>
      <c r="AK3" s="147"/>
      <c r="AL3" s="316" t="s">
        <v>126</v>
      </c>
      <c r="AM3" s="318"/>
      <c r="AN3" s="320" t="s">
        <v>125</v>
      </c>
      <c r="AO3" s="316"/>
      <c r="AP3" s="321"/>
      <c r="AQ3" s="335"/>
      <c r="AR3" s="321"/>
      <c r="AS3" s="335"/>
      <c r="AT3" s="321"/>
      <c r="AU3" s="335"/>
      <c r="AV3" s="317" t="s">
        <v>126</v>
      </c>
      <c r="AW3" s="316"/>
      <c r="AX3" s="336"/>
      <c r="AY3" s="316"/>
      <c r="AZ3" s="826" t="s">
        <v>70</v>
      </c>
      <c r="BA3" s="827"/>
    </row>
    <row r="4" spans="1:53" s="72" customFormat="1" ht="82.5" customHeight="1" thickBot="1">
      <c r="A4" s="337" t="s">
        <v>265</v>
      </c>
      <c r="B4" s="338"/>
      <c r="C4" s="338"/>
      <c r="D4" s="338"/>
      <c r="E4" s="338"/>
      <c r="F4" s="292" t="s">
        <v>249</v>
      </c>
      <c r="G4" s="293"/>
      <c r="H4" s="292" t="s">
        <v>127</v>
      </c>
      <c r="I4" s="293"/>
      <c r="J4" s="292" t="s">
        <v>128</v>
      </c>
      <c r="K4" s="293"/>
      <c r="L4" s="292" t="s">
        <v>129</v>
      </c>
      <c r="M4" s="293"/>
      <c r="N4" s="292" t="s">
        <v>130</v>
      </c>
      <c r="O4" s="293"/>
      <c r="P4" s="314" t="s">
        <v>250</v>
      </c>
      <c r="Q4" s="314" t="s">
        <v>155</v>
      </c>
      <c r="R4" s="315" t="s">
        <v>250</v>
      </c>
      <c r="S4" s="319" t="s">
        <v>155</v>
      </c>
      <c r="T4" s="294" t="s">
        <v>207</v>
      </c>
      <c r="U4" s="295"/>
      <c r="V4" s="294" t="s">
        <v>251</v>
      </c>
      <c r="W4" s="295"/>
      <c r="X4" s="292" t="s">
        <v>127</v>
      </c>
      <c r="Y4" s="293"/>
      <c r="Z4" s="292" t="s">
        <v>128</v>
      </c>
      <c r="AA4" s="293"/>
      <c r="AB4" s="292" t="s">
        <v>129</v>
      </c>
      <c r="AC4" s="293"/>
      <c r="AD4" s="292" t="s">
        <v>130</v>
      </c>
      <c r="AE4" s="293"/>
      <c r="AF4" s="314" t="s">
        <v>250</v>
      </c>
      <c r="AG4" s="314" t="s">
        <v>155</v>
      </c>
      <c r="AH4" s="315" t="s">
        <v>250</v>
      </c>
      <c r="AI4" s="319" t="s">
        <v>155</v>
      </c>
      <c r="AJ4" s="294" t="s">
        <v>207</v>
      </c>
      <c r="AK4" s="295"/>
      <c r="AL4" s="294" t="s">
        <v>251</v>
      </c>
      <c r="AM4" s="295"/>
      <c r="AN4" s="292" t="s">
        <v>127</v>
      </c>
      <c r="AO4" s="293"/>
      <c r="AP4" s="292" t="s">
        <v>128</v>
      </c>
      <c r="AQ4" s="293"/>
      <c r="AR4" s="292" t="s">
        <v>129</v>
      </c>
      <c r="AS4" s="293"/>
      <c r="AT4" s="292" t="s">
        <v>130</v>
      </c>
      <c r="AU4" s="293"/>
      <c r="AV4" s="314" t="s">
        <v>250</v>
      </c>
      <c r="AW4" s="314" t="s">
        <v>155</v>
      </c>
      <c r="AX4" s="315" t="s">
        <v>250</v>
      </c>
      <c r="AY4" s="315" t="s">
        <v>155</v>
      </c>
      <c r="AZ4" s="809" t="s">
        <v>37</v>
      </c>
      <c r="BA4" s="810"/>
    </row>
    <row r="5" spans="1:53" s="291" customFormat="1" ht="25.5" customHeight="1" thickTop="1" thickBot="1">
      <c r="A5" s="274" t="s">
        <v>121</v>
      </c>
      <c r="B5" s="275" t="s">
        <v>119</v>
      </c>
      <c r="C5" s="275" t="s">
        <v>266</v>
      </c>
      <c r="D5" s="276" t="s">
        <v>248</v>
      </c>
      <c r="E5" s="277" t="s">
        <v>120</v>
      </c>
      <c r="F5" s="278">
        <v>2010</v>
      </c>
      <c r="G5" s="279">
        <v>2011</v>
      </c>
      <c r="H5" s="278">
        <v>2010</v>
      </c>
      <c r="I5" s="279">
        <v>2011</v>
      </c>
      <c r="J5" s="278">
        <v>2010</v>
      </c>
      <c r="K5" s="279">
        <v>2011</v>
      </c>
      <c r="L5" s="278">
        <v>2010</v>
      </c>
      <c r="M5" s="279">
        <v>2011</v>
      </c>
      <c r="N5" s="278">
        <v>2010</v>
      </c>
      <c r="O5" s="279">
        <v>2011</v>
      </c>
      <c r="P5" s="280">
        <v>2010</v>
      </c>
      <c r="Q5" s="281">
        <v>2010</v>
      </c>
      <c r="R5" s="282">
        <v>2011</v>
      </c>
      <c r="S5" s="283">
        <v>2011</v>
      </c>
      <c r="T5" s="278">
        <v>2010</v>
      </c>
      <c r="U5" s="279">
        <v>2011</v>
      </c>
      <c r="V5" s="280">
        <v>2010</v>
      </c>
      <c r="W5" s="284">
        <v>2011</v>
      </c>
      <c r="X5" s="278">
        <v>2010</v>
      </c>
      <c r="Y5" s="279">
        <v>2011</v>
      </c>
      <c r="Z5" s="278">
        <v>2010</v>
      </c>
      <c r="AA5" s="279">
        <v>2011</v>
      </c>
      <c r="AB5" s="278">
        <v>2010</v>
      </c>
      <c r="AC5" s="279">
        <v>2011</v>
      </c>
      <c r="AD5" s="278">
        <v>2010</v>
      </c>
      <c r="AE5" s="279">
        <v>2011</v>
      </c>
      <c r="AF5" s="285">
        <v>2010</v>
      </c>
      <c r="AG5" s="286">
        <v>2010</v>
      </c>
      <c r="AH5" s="287">
        <v>2011</v>
      </c>
      <c r="AI5" s="287">
        <v>2011</v>
      </c>
      <c r="AJ5" s="278">
        <v>2010</v>
      </c>
      <c r="AK5" s="279">
        <v>2011</v>
      </c>
      <c r="AL5" s="286">
        <v>2010</v>
      </c>
      <c r="AM5" s="288">
        <v>2011</v>
      </c>
      <c r="AN5" s="278">
        <v>2010</v>
      </c>
      <c r="AO5" s="279">
        <v>2011</v>
      </c>
      <c r="AP5" s="278">
        <v>2010</v>
      </c>
      <c r="AQ5" s="279">
        <v>2011</v>
      </c>
      <c r="AR5" s="278">
        <v>2010</v>
      </c>
      <c r="AS5" s="279">
        <v>2011</v>
      </c>
      <c r="AT5" s="278">
        <v>2010</v>
      </c>
      <c r="AU5" s="279">
        <v>2011</v>
      </c>
      <c r="AV5" s="285">
        <v>2010</v>
      </c>
      <c r="AW5" s="285">
        <v>2010</v>
      </c>
      <c r="AX5" s="287">
        <v>2011</v>
      </c>
      <c r="AY5" s="289">
        <v>2011</v>
      </c>
      <c r="AZ5" s="290">
        <v>2010</v>
      </c>
      <c r="BA5" s="287">
        <v>2011</v>
      </c>
    </row>
    <row r="6" spans="1:53" s="155" customFormat="1" ht="57" customHeight="1" thickTop="1">
      <c r="A6" s="148" t="s">
        <v>121</v>
      </c>
      <c r="B6" s="148" t="s">
        <v>119</v>
      </c>
      <c r="C6" s="148" t="s">
        <v>253</v>
      </c>
      <c r="D6" s="149" t="s">
        <v>122</v>
      </c>
      <c r="E6" s="150" t="s">
        <v>120</v>
      </c>
      <c r="F6" s="151" t="s">
        <v>57</v>
      </c>
      <c r="G6" s="151" t="s">
        <v>58</v>
      </c>
      <c r="H6" s="151" t="s">
        <v>131</v>
      </c>
      <c r="I6" s="151" t="s">
        <v>132</v>
      </c>
      <c r="J6" s="151" t="s">
        <v>133</v>
      </c>
      <c r="K6" s="151" t="s">
        <v>134</v>
      </c>
      <c r="L6" s="151" t="s">
        <v>135</v>
      </c>
      <c r="M6" s="151" t="s">
        <v>136</v>
      </c>
      <c r="N6" s="151" t="s">
        <v>137</v>
      </c>
      <c r="O6" s="151" t="s">
        <v>138</v>
      </c>
      <c r="P6" s="151" t="s">
        <v>59</v>
      </c>
      <c r="Q6" s="151" t="s">
        <v>66</v>
      </c>
      <c r="R6" s="151" t="s">
        <v>60</v>
      </c>
      <c r="S6" s="151" t="s">
        <v>67</v>
      </c>
      <c r="T6" s="151" t="s">
        <v>200</v>
      </c>
      <c r="U6" s="151" t="s">
        <v>201</v>
      </c>
      <c r="V6" s="151" t="s">
        <v>213</v>
      </c>
      <c r="W6" s="151" t="s">
        <v>214</v>
      </c>
      <c r="X6" s="151" t="s">
        <v>139</v>
      </c>
      <c r="Y6" s="151" t="s">
        <v>140</v>
      </c>
      <c r="Z6" s="151" t="s">
        <v>141</v>
      </c>
      <c r="AA6" s="151" t="s">
        <v>142</v>
      </c>
      <c r="AB6" s="151" t="s">
        <v>143</v>
      </c>
      <c r="AC6" s="151" t="s">
        <v>144</v>
      </c>
      <c r="AD6" s="151" t="s">
        <v>145</v>
      </c>
      <c r="AE6" s="151" t="s">
        <v>146</v>
      </c>
      <c r="AF6" s="152" t="s">
        <v>54</v>
      </c>
      <c r="AG6" s="152" t="s">
        <v>55</v>
      </c>
      <c r="AH6" s="151" t="s">
        <v>61</v>
      </c>
      <c r="AI6" s="151" t="s">
        <v>68</v>
      </c>
      <c r="AJ6" s="151" t="s">
        <v>202</v>
      </c>
      <c r="AK6" s="151" t="s">
        <v>203</v>
      </c>
      <c r="AL6" s="151" t="s">
        <v>215</v>
      </c>
      <c r="AM6" s="151" t="s">
        <v>216</v>
      </c>
      <c r="AN6" s="151" t="s">
        <v>147</v>
      </c>
      <c r="AO6" s="151" t="s">
        <v>148</v>
      </c>
      <c r="AP6" s="151" t="s">
        <v>149</v>
      </c>
      <c r="AQ6" s="250" t="s">
        <v>150</v>
      </c>
      <c r="AR6" s="151" t="s">
        <v>151</v>
      </c>
      <c r="AS6" s="250" t="s">
        <v>152</v>
      </c>
      <c r="AT6" s="151" t="s">
        <v>153</v>
      </c>
      <c r="AU6" s="250" t="s">
        <v>154</v>
      </c>
      <c r="AV6" s="151" t="s">
        <v>62</v>
      </c>
      <c r="AW6" s="151" t="s">
        <v>64</v>
      </c>
      <c r="AX6" s="151" t="s">
        <v>63</v>
      </c>
      <c r="AY6" s="151" t="s">
        <v>65</v>
      </c>
      <c r="AZ6" s="153" t="s">
        <v>71</v>
      </c>
      <c r="BA6" s="154" t="s">
        <v>76</v>
      </c>
    </row>
    <row r="7" spans="1:53">
      <c r="A7" s="352" t="s">
        <v>28</v>
      </c>
      <c r="B7" s="353" t="s">
        <v>273</v>
      </c>
      <c r="C7" s="354"/>
      <c r="D7" s="355">
        <v>100858</v>
      </c>
      <c r="E7" s="352">
        <v>1</v>
      </c>
      <c r="F7" s="296" t="s">
        <v>52</v>
      </c>
      <c r="G7" s="297" t="s">
        <v>52</v>
      </c>
      <c r="H7" s="298"/>
      <c r="I7" s="299"/>
      <c r="J7" s="298">
        <v>249642</v>
      </c>
      <c r="K7" s="299">
        <v>256295</v>
      </c>
      <c r="L7" s="298">
        <v>55703</v>
      </c>
      <c r="M7" s="299">
        <v>55115</v>
      </c>
      <c r="N7" s="298">
        <v>277275</v>
      </c>
      <c r="O7" s="299">
        <v>281868</v>
      </c>
      <c r="P7" s="601">
        <f t="shared" ref="P7:P70" si="15">SUM(H7,J7,L7,N7)</f>
        <v>582620</v>
      </c>
      <c r="Q7" s="602">
        <f t="shared" ref="Q7:Q70" si="16">+P7/30</f>
        <v>19420.666666666668</v>
      </c>
      <c r="R7" s="603">
        <f t="shared" ref="R7:R70" si="17">SUM(I7,K7,M7,O7)</f>
        <v>593278</v>
      </c>
      <c r="S7" s="604">
        <f t="shared" ref="S7:S70" si="18">+R7/30</f>
        <v>19775.933333333334</v>
      </c>
      <c r="T7" s="298">
        <v>24</v>
      </c>
      <c r="U7" s="299">
        <v>27</v>
      </c>
      <c r="V7" s="601">
        <f t="shared" ref="V7:V70" si="19">IF(ISBLANK(T7),0,P7)</f>
        <v>582620</v>
      </c>
      <c r="W7" s="605">
        <f t="shared" ref="W7:W70" si="20">IF(ISBLANK(U7),0,R7)</f>
        <v>593278</v>
      </c>
      <c r="X7" s="305"/>
      <c r="Y7" s="299"/>
      <c r="Z7" s="298"/>
      <c r="AA7" s="299"/>
      <c r="AB7" s="298"/>
      <c r="AC7" s="299"/>
      <c r="AD7" s="298"/>
      <c r="AE7" s="299"/>
      <c r="AF7" s="601">
        <f t="shared" ref="AF7:AF70" si="21">SUM(X7,Z7,AB7,AD7)</f>
        <v>0</v>
      </c>
      <c r="AG7" s="602">
        <f t="shared" ref="AG7:AG70" si="22">+AF7/900</f>
        <v>0</v>
      </c>
      <c r="AH7" s="603">
        <f t="shared" ref="AH7:AH70" si="23">SUM(Y7,AA7,AC7,AE7)</f>
        <v>0</v>
      </c>
      <c r="AI7" s="603">
        <f t="shared" ref="AI7:AI70" si="24">+AH7/900</f>
        <v>0</v>
      </c>
      <c r="AJ7" s="298"/>
      <c r="AK7" s="299"/>
      <c r="AL7" s="601">
        <f t="shared" ref="AL7:AL70" si="25">IF(ISBLANK(AJ7),0,AF7)</f>
        <v>0</v>
      </c>
      <c r="AM7" s="604">
        <f t="shared" ref="AM7:AM70" si="26">IF(ISBLANK(AK7),0,AH7)</f>
        <v>0</v>
      </c>
      <c r="AN7" s="306"/>
      <c r="AO7" s="307"/>
      <c r="AP7" s="298">
        <v>34614</v>
      </c>
      <c r="AQ7" s="307">
        <v>36783</v>
      </c>
      <c r="AR7" s="298">
        <v>18905</v>
      </c>
      <c r="AS7" s="307">
        <v>19220</v>
      </c>
      <c r="AT7" s="298">
        <v>38613</v>
      </c>
      <c r="AU7" s="307">
        <v>39047</v>
      </c>
      <c r="AV7" s="601">
        <f t="shared" ref="AV7:AV70" si="27">SUM(AN7,AP7,AR7,AT7)</f>
        <v>92132</v>
      </c>
      <c r="AW7" s="609">
        <f t="shared" ref="AW7:AW70" si="28">+AV7/24</f>
        <v>3838.8333333333335</v>
      </c>
      <c r="AX7" s="603">
        <f t="shared" ref="AX7:AX70" si="29">SUM(AO7,AQ7,AS7,AU7)</f>
        <v>95050</v>
      </c>
      <c r="AY7" s="610">
        <f t="shared" ref="AY7:AY70" si="30">+AX7/24</f>
        <v>3960.4166666666665</v>
      </c>
      <c r="AZ7" s="611">
        <f t="shared" ref="AZ7:AZ70" si="31">SUM(Q7,AG7,AW7)</f>
        <v>23259.5</v>
      </c>
      <c r="BA7" s="603">
        <f t="shared" ref="BA7:BA70" si="32">SUM(S7,AI7,AY7)</f>
        <v>23736.350000000002</v>
      </c>
    </row>
    <row r="8" spans="1:53">
      <c r="A8" s="352" t="s">
        <v>28</v>
      </c>
      <c r="B8" s="353" t="s">
        <v>274</v>
      </c>
      <c r="C8" s="354"/>
      <c r="D8" s="356">
        <v>100751</v>
      </c>
      <c r="E8" s="352">
        <v>1</v>
      </c>
      <c r="F8" s="296" t="s">
        <v>52</v>
      </c>
      <c r="G8" s="297" t="s">
        <v>52</v>
      </c>
      <c r="H8" s="298"/>
      <c r="I8" s="299"/>
      <c r="J8" s="298">
        <v>303941</v>
      </c>
      <c r="K8" s="299">
        <v>316793</v>
      </c>
      <c r="L8" s="298">
        <v>62595</v>
      </c>
      <c r="M8" s="299">
        <v>60132</v>
      </c>
      <c r="N8" s="298">
        <v>335057</v>
      </c>
      <c r="O8" s="299">
        <v>353356</v>
      </c>
      <c r="P8" s="601">
        <f t="shared" si="15"/>
        <v>701593</v>
      </c>
      <c r="Q8" s="602">
        <f t="shared" si="16"/>
        <v>23386.433333333334</v>
      </c>
      <c r="R8" s="603">
        <f t="shared" si="17"/>
        <v>730281</v>
      </c>
      <c r="S8" s="604">
        <f t="shared" si="18"/>
        <v>24342.7</v>
      </c>
      <c r="T8" s="298">
        <v>548</v>
      </c>
      <c r="U8" s="299">
        <v>1685</v>
      </c>
      <c r="V8" s="601">
        <f t="shared" si="19"/>
        <v>701593</v>
      </c>
      <c r="W8" s="605">
        <f t="shared" si="20"/>
        <v>730281</v>
      </c>
      <c r="X8" s="305"/>
      <c r="Y8" s="299"/>
      <c r="Z8" s="298"/>
      <c r="AA8" s="299"/>
      <c r="AB8" s="298"/>
      <c r="AC8" s="299"/>
      <c r="AD8" s="298"/>
      <c r="AE8" s="299"/>
      <c r="AF8" s="601">
        <f t="shared" si="21"/>
        <v>0</v>
      </c>
      <c r="AG8" s="602">
        <f t="shared" si="22"/>
        <v>0</v>
      </c>
      <c r="AH8" s="603">
        <f t="shared" si="23"/>
        <v>0</v>
      </c>
      <c r="AI8" s="603">
        <f t="shared" si="24"/>
        <v>0</v>
      </c>
      <c r="AJ8" s="298"/>
      <c r="AK8" s="299"/>
      <c r="AL8" s="601">
        <f t="shared" si="25"/>
        <v>0</v>
      </c>
      <c r="AM8" s="604">
        <f t="shared" si="26"/>
        <v>0</v>
      </c>
      <c r="AN8" s="306"/>
      <c r="AO8" s="307"/>
      <c r="AP8" s="298">
        <v>41821</v>
      </c>
      <c r="AQ8" s="307">
        <v>42753</v>
      </c>
      <c r="AR8" s="298">
        <v>11544</v>
      </c>
      <c r="AS8" s="307">
        <v>12218</v>
      </c>
      <c r="AT8" s="298">
        <v>42789</v>
      </c>
      <c r="AU8" s="307">
        <v>44057</v>
      </c>
      <c r="AV8" s="601">
        <f t="shared" si="27"/>
        <v>96154</v>
      </c>
      <c r="AW8" s="609">
        <f t="shared" si="28"/>
        <v>4006.4166666666665</v>
      </c>
      <c r="AX8" s="603">
        <f t="shared" si="29"/>
        <v>99028</v>
      </c>
      <c r="AY8" s="610">
        <f t="shared" si="30"/>
        <v>4126.166666666667</v>
      </c>
      <c r="AZ8" s="611">
        <f t="shared" si="31"/>
        <v>27392.850000000002</v>
      </c>
      <c r="BA8" s="603">
        <f t="shared" si="32"/>
        <v>28468.866666666669</v>
      </c>
    </row>
    <row r="9" spans="1:53">
      <c r="A9" s="352" t="s">
        <v>28</v>
      </c>
      <c r="B9" s="353" t="s">
        <v>275</v>
      </c>
      <c r="C9" s="354" t="s">
        <v>445</v>
      </c>
      <c r="D9" s="356">
        <v>100663</v>
      </c>
      <c r="E9" s="352">
        <v>1</v>
      </c>
      <c r="F9" s="296" t="s">
        <v>52</v>
      </c>
      <c r="G9" s="297" t="s">
        <v>52</v>
      </c>
      <c r="H9" s="298"/>
      <c r="I9" s="299"/>
      <c r="J9" s="298">
        <v>109709</v>
      </c>
      <c r="K9" s="299">
        <v>113224</v>
      </c>
      <c r="L9" s="298">
        <v>30668</v>
      </c>
      <c r="M9" s="299">
        <v>28982</v>
      </c>
      <c r="N9" s="298">
        <v>122371</v>
      </c>
      <c r="O9" s="299">
        <v>122877</v>
      </c>
      <c r="P9" s="601">
        <f t="shared" si="15"/>
        <v>262748</v>
      </c>
      <c r="Q9" s="602">
        <f t="shared" si="16"/>
        <v>8758.2666666666664</v>
      </c>
      <c r="R9" s="603">
        <f t="shared" si="17"/>
        <v>265083</v>
      </c>
      <c r="S9" s="604">
        <f t="shared" si="18"/>
        <v>8836.1</v>
      </c>
      <c r="T9" s="298">
        <v>78</v>
      </c>
      <c r="U9" s="299">
        <v>55</v>
      </c>
      <c r="V9" s="601">
        <f t="shared" si="19"/>
        <v>262748</v>
      </c>
      <c r="W9" s="605">
        <f t="shared" si="20"/>
        <v>265083</v>
      </c>
      <c r="X9" s="305"/>
      <c r="Y9" s="299"/>
      <c r="Z9" s="298"/>
      <c r="AA9" s="299"/>
      <c r="AB9" s="298"/>
      <c r="AC9" s="299"/>
      <c r="AD9" s="298"/>
      <c r="AE9" s="299"/>
      <c r="AF9" s="601">
        <f t="shared" si="21"/>
        <v>0</v>
      </c>
      <c r="AG9" s="602">
        <f t="shared" si="22"/>
        <v>0</v>
      </c>
      <c r="AH9" s="603">
        <f t="shared" si="23"/>
        <v>0</v>
      </c>
      <c r="AI9" s="603">
        <f t="shared" si="24"/>
        <v>0</v>
      </c>
      <c r="AJ9" s="298"/>
      <c r="AK9" s="299"/>
      <c r="AL9" s="601">
        <f t="shared" si="25"/>
        <v>0</v>
      </c>
      <c r="AM9" s="604">
        <f t="shared" si="26"/>
        <v>0</v>
      </c>
      <c r="AN9" s="306"/>
      <c r="AO9" s="307"/>
      <c r="AP9" s="298">
        <v>17538</v>
      </c>
      <c r="AQ9" s="307">
        <v>17547</v>
      </c>
      <c r="AR9" s="298">
        <v>11819</v>
      </c>
      <c r="AS9" s="307">
        <v>11619</v>
      </c>
      <c r="AT9" s="298">
        <v>17774</v>
      </c>
      <c r="AU9" s="307">
        <v>17378</v>
      </c>
      <c r="AV9" s="601">
        <f t="shared" si="27"/>
        <v>47131</v>
      </c>
      <c r="AW9" s="609">
        <f t="shared" si="28"/>
        <v>1963.7916666666667</v>
      </c>
      <c r="AX9" s="603">
        <f t="shared" si="29"/>
        <v>46544</v>
      </c>
      <c r="AY9" s="610">
        <f t="shared" si="30"/>
        <v>1939.3333333333333</v>
      </c>
      <c r="AZ9" s="611">
        <f t="shared" si="31"/>
        <v>10722.058333333332</v>
      </c>
      <c r="BA9" s="603">
        <f t="shared" si="32"/>
        <v>10775.433333333334</v>
      </c>
    </row>
    <row r="10" spans="1:53">
      <c r="A10" s="352" t="s">
        <v>28</v>
      </c>
      <c r="B10" s="353" t="s">
        <v>276</v>
      </c>
      <c r="C10" s="354"/>
      <c r="D10" s="352">
        <v>100706</v>
      </c>
      <c r="E10" s="352">
        <v>2</v>
      </c>
      <c r="F10" s="296" t="s">
        <v>52</v>
      </c>
      <c r="G10" s="297" t="s">
        <v>52</v>
      </c>
      <c r="H10" s="298"/>
      <c r="I10" s="299"/>
      <c r="J10" s="298">
        <v>69992</v>
      </c>
      <c r="K10" s="299">
        <v>66744</v>
      </c>
      <c r="L10" s="298">
        <v>18629</v>
      </c>
      <c r="M10" s="299">
        <v>17137</v>
      </c>
      <c r="N10" s="298">
        <v>72440</v>
      </c>
      <c r="O10" s="299">
        <v>71501</v>
      </c>
      <c r="P10" s="601">
        <f t="shared" si="15"/>
        <v>161061</v>
      </c>
      <c r="Q10" s="602">
        <f t="shared" si="16"/>
        <v>5368.7</v>
      </c>
      <c r="R10" s="603">
        <f t="shared" si="17"/>
        <v>155382</v>
      </c>
      <c r="S10" s="604">
        <f t="shared" si="18"/>
        <v>5179.3999999999996</v>
      </c>
      <c r="T10" s="298">
        <v>388.5</v>
      </c>
      <c r="U10" s="299">
        <v>416</v>
      </c>
      <c r="V10" s="601">
        <f t="shared" si="19"/>
        <v>161061</v>
      </c>
      <c r="W10" s="605">
        <f t="shared" si="20"/>
        <v>155382</v>
      </c>
      <c r="X10" s="305"/>
      <c r="Y10" s="299"/>
      <c r="Z10" s="298"/>
      <c r="AA10" s="299"/>
      <c r="AB10" s="298"/>
      <c r="AC10" s="299"/>
      <c r="AD10" s="298"/>
      <c r="AE10" s="299"/>
      <c r="AF10" s="601">
        <f t="shared" si="21"/>
        <v>0</v>
      </c>
      <c r="AG10" s="602">
        <f t="shared" si="22"/>
        <v>0</v>
      </c>
      <c r="AH10" s="603">
        <f t="shared" si="23"/>
        <v>0</v>
      </c>
      <c r="AI10" s="603">
        <f t="shared" si="24"/>
        <v>0</v>
      </c>
      <c r="AJ10" s="298"/>
      <c r="AK10" s="299"/>
      <c r="AL10" s="601">
        <f t="shared" si="25"/>
        <v>0</v>
      </c>
      <c r="AM10" s="604">
        <f t="shared" si="26"/>
        <v>0</v>
      </c>
      <c r="AN10" s="306"/>
      <c r="AO10" s="307"/>
      <c r="AP10" s="298">
        <v>8512</v>
      </c>
      <c r="AQ10" s="307">
        <v>8799</v>
      </c>
      <c r="AR10" s="298">
        <v>4191</v>
      </c>
      <c r="AS10" s="307">
        <v>4219</v>
      </c>
      <c r="AT10" s="298">
        <v>9249</v>
      </c>
      <c r="AU10" s="307">
        <v>10158</v>
      </c>
      <c r="AV10" s="601">
        <f t="shared" si="27"/>
        <v>21952</v>
      </c>
      <c r="AW10" s="609">
        <f t="shared" si="28"/>
        <v>914.66666666666663</v>
      </c>
      <c r="AX10" s="603">
        <f t="shared" si="29"/>
        <v>23176</v>
      </c>
      <c r="AY10" s="610">
        <f t="shared" si="30"/>
        <v>965.66666666666663</v>
      </c>
      <c r="AZ10" s="611">
        <f t="shared" si="31"/>
        <v>6283.3666666666668</v>
      </c>
      <c r="BA10" s="603">
        <f t="shared" si="32"/>
        <v>6145.0666666666666</v>
      </c>
    </row>
    <row r="11" spans="1:53">
      <c r="A11" s="352" t="s">
        <v>28</v>
      </c>
      <c r="B11" s="353" t="s">
        <v>277</v>
      </c>
      <c r="C11" s="354"/>
      <c r="D11" s="352">
        <v>100654</v>
      </c>
      <c r="E11" s="352">
        <v>3</v>
      </c>
      <c r="F11" s="296" t="s">
        <v>52</v>
      </c>
      <c r="G11" s="297" t="s">
        <v>52</v>
      </c>
      <c r="H11" s="298"/>
      <c r="I11" s="299"/>
      <c r="J11" s="298">
        <v>56705</v>
      </c>
      <c r="K11" s="299">
        <v>60071</v>
      </c>
      <c r="L11" s="298">
        <v>10528</v>
      </c>
      <c r="M11" s="299">
        <v>21464</v>
      </c>
      <c r="N11" s="298">
        <v>67482</v>
      </c>
      <c r="O11" s="299">
        <v>59381</v>
      </c>
      <c r="P11" s="601">
        <f t="shared" si="15"/>
        <v>134715</v>
      </c>
      <c r="Q11" s="602">
        <f t="shared" si="16"/>
        <v>4490.5</v>
      </c>
      <c r="R11" s="603">
        <f t="shared" si="17"/>
        <v>140916</v>
      </c>
      <c r="S11" s="604">
        <f t="shared" si="18"/>
        <v>4697.2</v>
      </c>
      <c r="T11" s="298">
        <v>24</v>
      </c>
      <c r="U11" s="299">
        <v>9</v>
      </c>
      <c r="V11" s="601">
        <f t="shared" si="19"/>
        <v>134715</v>
      </c>
      <c r="W11" s="605">
        <f t="shared" si="20"/>
        <v>140916</v>
      </c>
      <c r="X11" s="305"/>
      <c r="Y11" s="299"/>
      <c r="Z11" s="298"/>
      <c r="AA11" s="299"/>
      <c r="AB11" s="298"/>
      <c r="AC11" s="299"/>
      <c r="AD11" s="298"/>
      <c r="AE11" s="299"/>
      <c r="AF11" s="601">
        <f t="shared" si="21"/>
        <v>0</v>
      </c>
      <c r="AG11" s="602">
        <f t="shared" si="22"/>
        <v>0</v>
      </c>
      <c r="AH11" s="603">
        <f t="shared" si="23"/>
        <v>0</v>
      </c>
      <c r="AI11" s="603">
        <f t="shared" si="24"/>
        <v>0</v>
      </c>
      <c r="AJ11" s="298"/>
      <c r="AK11" s="299"/>
      <c r="AL11" s="601">
        <f t="shared" si="25"/>
        <v>0</v>
      </c>
      <c r="AM11" s="604">
        <f t="shared" si="26"/>
        <v>0</v>
      </c>
      <c r="AN11" s="306"/>
      <c r="AO11" s="307"/>
      <c r="AP11" s="298">
        <v>6180</v>
      </c>
      <c r="AQ11" s="307">
        <v>6287</v>
      </c>
      <c r="AR11" s="298">
        <v>2913</v>
      </c>
      <c r="AS11" s="307">
        <v>4889</v>
      </c>
      <c r="AT11" s="298">
        <v>6293</v>
      </c>
      <c r="AU11" s="307">
        <v>6123</v>
      </c>
      <c r="AV11" s="601">
        <f t="shared" si="27"/>
        <v>15386</v>
      </c>
      <c r="AW11" s="609">
        <f t="shared" si="28"/>
        <v>641.08333333333337</v>
      </c>
      <c r="AX11" s="603">
        <f t="shared" si="29"/>
        <v>17299</v>
      </c>
      <c r="AY11" s="610">
        <f t="shared" si="30"/>
        <v>720.79166666666663</v>
      </c>
      <c r="AZ11" s="611">
        <f t="shared" si="31"/>
        <v>5131.583333333333</v>
      </c>
      <c r="BA11" s="603">
        <f t="shared" si="32"/>
        <v>5417.9916666666668</v>
      </c>
    </row>
    <row r="12" spans="1:53">
      <c r="A12" s="352" t="s">
        <v>28</v>
      </c>
      <c r="B12" s="353" t="s">
        <v>278</v>
      </c>
      <c r="C12" s="354"/>
      <c r="D12" s="352">
        <v>101480</v>
      </c>
      <c r="E12" s="352">
        <v>3</v>
      </c>
      <c r="F12" s="296" t="s">
        <v>52</v>
      </c>
      <c r="G12" s="297" t="s">
        <v>52</v>
      </c>
      <c r="H12" s="298"/>
      <c r="I12" s="299"/>
      <c r="J12" s="298">
        <v>86840</v>
      </c>
      <c r="K12" s="299">
        <v>88230</v>
      </c>
      <c r="L12" s="298">
        <v>26865</v>
      </c>
      <c r="M12" s="299">
        <v>27021</v>
      </c>
      <c r="N12" s="298">
        <v>93136</v>
      </c>
      <c r="O12" s="299">
        <v>98584</v>
      </c>
      <c r="P12" s="601">
        <f t="shared" si="15"/>
        <v>206841</v>
      </c>
      <c r="Q12" s="602">
        <f t="shared" si="16"/>
        <v>6894.7</v>
      </c>
      <c r="R12" s="603">
        <f t="shared" si="17"/>
        <v>213835</v>
      </c>
      <c r="S12" s="604">
        <f t="shared" si="18"/>
        <v>7127.833333333333</v>
      </c>
      <c r="T12" s="298">
        <v>1969</v>
      </c>
      <c r="U12" s="299">
        <v>1906</v>
      </c>
      <c r="V12" s="601">
        <f t="shared" si="19"/>
        <v>206841</v>
      </c>
      <c r="W12" s="605">
        <f t="shared" si="20"/>
        <v>213835</v>
      </c>
      <c r="X12" s="305"/>
      <c r="Y12" s="299"/>
      <c r="Z12" s="298"/>
      <c r="AA12" s="299"/>
      <c r="AB12" s="298"/>
      <c r="AC12" s="299"/>
      <c r="AD12" s="298"/>
      <c r="AE12" s="299"/>
      <c r="AF12" s="601">
        <f t="shared" si="21"/>
        <v>0</v>
      </c>
      <c r="AG12" s="602">
        <f t="shared" si="22"/>
        <v>0</v>
      </c>
      <c r="AH12" s="603">
        <f t="shared" si="23"/>
        <v>0</v>
      </c>
      <c r="AI12" s="603">
        <f t="shared" si="24"/>
        <v>0</v>
      </c>
      <c r="AJ12" s="298"/>
      <c r="AK12" s="299"/>
      <c r="AL12" s="601">
        <f t="shared" si="25"/>
        <v>0</v>
      </c>
      <c r="AM12" s="604">
        <f t="shared" si="26"/>
        <v>0</v>
      </c>
      <c r="AN12" s="306"/>
      <c r="AO12" s="307"/>
      <c r="AP12" s="298">
        <v>9749</v>
      </c>
      <c r="AQ12" s="307">
        <v>8484</v>
      </c>
      <c r="AR12" s="298">
        <v>6370</v>
      </c>
      <c r="AS12" s="307">
        <v>6173</v>
      </c>
      <c r="AT12" s="298">
        <v>9237</v>
      </c>
      <c r="AU12" s="307">
        <v>7178</v>
      </c>
      <c r="AV12" s="601">
        <f t="shared" si="27"/>
        <v>25356</v>
      </c>
      <c r="AW12" s="609">
        <f t="shared" si="28"/>
        <v>1056.5</v>
      </c>
      <c r="AX12" s="603">
        <f t="shared" si="29"/>
        <v>21835</v>
      </c>
      <c r="AY12" s="610">
        <f t="shared" si="30"/>
        <v>909.79166666666663</v>
      </c>
      <c r="AZ12" s="611">
        <f t="shared" si="31"/>
        <v>7951.2</v>
      </c>
      <c r="BA12" s="603">
        <f t="shared" si="32"/>
        <v>8037.625</v>
      </c>
    </row>
    <row r="13" spans="1:53">
      <c r="A13" s="352" t="s">
        <v>28</v>
      </c>
      <c r="B13" s="353" t="s">
        <v>279</v>
      </c>
      <c r="C13" s="354"/>
      <c r="D13" s="352">
        <v>102368</v>
      </c>
      <c r="E13" s="352">
        <v>3</v>
      </c>
      <c r="F13" s="296" t="s">
        <v>52</v>
      </c>
      <c r="G13" s="297" t="s">
        <v>52</v>
      </c>
      <c r="H13" s="298"/>
      <c r="I13" s="299"/>
      <c r="J13" s="298">
        <v>149708</v>
      </c>
      <c r="K13" s="299">
        <v>146595</v>
      </c>
      <c r="L13" s="298">
        <v>41236</v>
      </c>
      <c r="M13" s="299">
        <v>38268</v>
      </c>
      <c r="N13" s="298">
        <v>156741</v>
      </c>
      <c r="O13" s="299">
        <v>197682</v>
      </c>
      <c r="P13" s="601">
        <f t="shared" si="15"/>
        <v>347685</v>
      </c>
      <c r="Q13" s="602">
        <f t="shared" si="16"/>
        <v>11589.5</v>
      </c>
      <c r="R13" s="603">
        <f t="shared" si="17"/>
        <v>382545</v>
      </c>
      <c r="S13" s="604">
        <f t="shared" si="18"/>
        <v>12751.5</v>
      </c>
      <c r="T13" s="298">
        <v>328</v>
      </c>
      <c r="U13" s="299">
        <v>286</v>
      </c>
      <c r="V13" s="601">
        <f t="shared" si="19"/>
        <v>347685</v>
      </c>
      <c r="W13" s="605">
        <f t="shared" si="20"/>
        <v>382545</v>
      </c>
      <c r="X13" s="305"/>
      <c r="Y13" s="299"/>
      <c r="Z13" s="298"/>
      <c r="AA13" s="299"/>
      <c r="AB13" s="298"/>
      <c r="AC13" s="299"/>
      <c r="AD13" s="298"/>
      <c r="AE13" s="299"/>
      <c r="AF13" s="601">
        <f t="shared" si="21"/>
        <v>0</v>
      </c>
      <c r="AG13" s="602">
        <f t="shared" si="22"/>
        <v>0</v>
      </c>
      <c r="AH13" s="603">
        <f t="shared" si="23"/>
        <v>0</v>
      </c>
      <c r="AI13" s="603">
        <f t="shared" si="24"/>
        <v>0</v>
      </c>
      <c r="AJ13" s="298"/>
      <c r="AK13" s="299"/>
      <c r="AL13" s="601">
        <f t="shared" si="25"/>
        <v>0</v>
      </c>
      <c r="AM13" s="604">
        <f t="shared" si="26"/>
        <v>0</v>
      </c>
      <c r="AN13" s="306"/>
      <c r="AO13" s="307"/>
      <c r="AP13" s="298">
        <v>19522</v>
      </c>
      <c r="AQ13" s="307">
        <v>18084</v>
      </c>
      <c r="AR13" s="298">
        <v>8481</v>
      </c>
      <c r="AS13" s="307">
        <v>7411</v>
      </c>
      <c r="AT13" s="298">
        <v>18655</v>
      </c>
      <c r="AU13" s="307">
        <v>28115</v>
      </c>
      <c r="AV13" s="601">
        <f t="shared" si="27"/>
        <v>46658</v>
      </c>
      <c r="AW13" s="609">
        <f t="shared" si="28"/>
        <v>1944.0833333333333</v>
      </c>
      <c r="AX13" s="603">
        <f t="shared" si="29"/>
        <v>53610</v>
      </c>
      <c r="AY13" s="610">
        <f t="shared" si="30"/>
        <v>2233.75</v>
      </c>
      <c r="AZ13" s="611">
        <f t="shared" si="31"/>
        <v>13533.583333333334</v>
      </c>
      <c r="BA13" s="603">
        <f t="shared" si="32"/>
        <v>14985.25</v>
      </c>
    </row>
    <row r="14" spans="1:53">
      <c r="A14" s="352" t="s">
        <v>28</v>
      </c>
      <c r="B14" s="353" t="s">
        <v>280</v>
      </c>
      <c r="C14" s="354"/>
      <c r="D14" s="352">
        <v>102094</v>
      </c>
      <c r="E14" s="352">
        <v>3</v>
      </c>
      <c r="F14" s="296" t="s">
        <v>52</v>
      </c>
      <c r="G14" s="297" t="s">
        <v>52</v>
      </c>
      <c r="H14" s="298"/>
      <c r="I14" s="299"/>
      <c r="J14" s="298">
        <v>115817</v>
      </c>
      <c r="K14" s="299">
        <v>115521</v>
      </c>
      <c r="L14" s="298">
        <v>28931</v>
      </c>
      <c r="M14" s="299">
        <v>28710</v>
      </c>
      <c r="N14" s="298">
        <v>127980</v>
      </c>
      <c r="O14" s="299">
        <v>128593</v>
      </c>
      <c r="P14" s="601">
        <f t="shared" si="15"/>
        <v>272728</v>
      </c>
      <c r="Q14" s="602">
        <f t="shared" si="16"/>
        <v>9090.9333333333325</v>
      </c>
      <c r="R14" s="603">
        <f t="shared" si="17"/>
        <v>272824</v>
      </c>
      <c r="S14" s="604">
        <f t="shared" si="18"/>
        <v>9094.1333333333332</v>
      </c>
      <c r="T14" s="298">
        <v>661</v>
      </c>
      <c r="U14" s="299">
        <v>384</v>
      </c>
      <c r="V14" s="601">
        <f t="shared" si="19"/>
        <v>272728</v>
      </c>
      <c r="W14" s="605">
        <f t="shared" si="20"/>
        <v>272824</v>
      </c>
      <c r="X14" s="305"/>
      <c r="Y14" s="299"/>
      <c r="Z14" s="298"/>
      <c r="AA14" s="299"/>
      <c r="AB14" s="298"/>
      <c r="AC14" s="299"/>
      <c r="AD14" s="298"/>
      <c r="AE14" s="299"/>
      <c r="AF14" s="601">
        <f t="shared" si="21"/>
        <v>0</v>
      </c>
      <c r="AG14" s="602">
        <f t="shared" si="22"/>
        <v>0</v>
      </c>
      <c r="AH14" s="603">
        <f t="shared" si="23"/>
        <v>0</v>
      </c>
      <c r="AI14" s="603">
        <f t="shared" si="24"/>
        <v>0</v>
      </c>
      <c r="AJ14" s="298"/>
      <c r="AK14" s="299"/>
      <c r="AL14" s="601">
        <f t="shared" si="25"/>
        <v>0</v>
      </c>
      <c r="AM14" s="604">
        <f t="shared" si="26"/>
        <v>0</v>
      </c>
      <c r="AN14" s="306"/>
      <c r="AO14" s="307"/>
      <c r="AP14" s="298">
        <v>7316</v>
      </c>
      <c r="AQ14" s="307">
        <v>6658</v>
      </c>
      <c r="AR14" s="298">
        <v>4108</v>
      </c>
      <c r="AS14" s="307">
        <v>3757</v>
      </c>
      <c r="AT14" s="298">
        <v>7281</v>
      </c>
      <c r="AU14" s="307">
        <v>6428</v>
      </c>
      <c r="AV14" s="601">
        <f t="shared" si="27"/>
        <v>18705</v>
      </c>
      <c r="AW14" s="609">
        <f t="shared" si="28"/>
        <v>779.375</v>
      </c>
      <c r="AX14" s="603">
        <f t="shared" si="29"/>
        <v>16843</v>
      </c>
      <c r="AY14" s="610">
        <f t="shared" si="30"/>
        <v>701.79166666666663</v>
      </c>
      <c r="AZ14" s="611">
        <f t="shared" si="31"/>
        <v>9870.3083333333325</v>
      </c>
      <c r="BA14" s="603">
        <f t="shared" si="32"/>
        <v>9795.9249999999993</v>
      </c>
    </row>
    <row r="15" spans="1:53">
      <c r="A15" s="352" t="s">
        <v>28</v>
      </c>
      <c r="B15" s="353" t="s">
        <v>281</v>
      </c>
      <c r="C15" s="354"/>
      <c r="D15" s="352">
        <v>100724</v>
      </c>
      <c r="E15" s="352">
        <v>4</v>
      </c>
      <c r="F15" s="296" t="s">
        <v>52</v>
      </c>
      <c r="G15" s="297" t="s">
        <v>52</v>
      </c>
      <c r="H15" s="298"/>
      <c r="I15" s="299"/>
      <c r="J15" s="298">
        <v>62452</v>
      </c>
      <c r="K15" s="299">
        <v>70196</v>
      </c>
      <c r="L15" s="298">
        <v>20083</v>
      </c>
      <c r="M15" s="299">
        <v>16252</v>
      </c>
      <c r="N15" s="298">
        <v>72802</v>
      </c>
      <c r="O15" s="299">
        <v>69893</v>
      </c>
      <c r="P15" s="601">
        <f t="shared" si="15"/>
        <v>155337</v>
      </c>
      <c r="Q15" s="602">
        <f t="shared" si="16"/>
        <v>5177.8999999999996</v>
      </c>
      <c r="R15" s="603">
        <f t="shared" si="17"/>
        <v>156341</v>
      </c>
      <c r="S15" s="604">
        <f t="shared" si="18"/>
        <v>5211.3666666666668</v>
      </c>
      <c r="T15" s="298">
        <v>0</v>
      </c>
      <c r="U15" s="299">
        <v>0</v>
      </c>
      <c r="V15" s="601">
        <f t="shared" si="19"/>
        <v>155337</v>
      </c>
      <c r="W15" s="605">
        <f t="shared" si="20"/>
        <v>156341</v>
      </c>
      <c r="X15" s="305"/>
      <c r="Y15" s="299"/>
      <c r="Z15" s="298"/>
      <c r="AA15" s="299"/>
      <c r="AB15" s="298"/>
      <c r="AC15" s="299"/>
      <c r="AD15" s="298"/>
      <c r="AE15" s="299"/>
      <c r="AF15" s="601">
        <f t="shared" si="21"/>
        <v>0</v>
      </c>
      <c r="AG15" s="602">
        <f t="shared" si="22"/>
        <v>0</v>
      </c>
      <c r="AH15" s="603">
        <f t="shared" si="23"/>
        <v>0</v>
      </c>
      <c r="AI15" s="603">
        <f t="shared" si="24"/>
        <v>0</v>
      </c>
      <c r="AJ15" s="298"/>
      <c r="AK15" s="299"/>
      <c r="AL15" s="601">
        <f t="shared" si="25"/>
        <v>0</v>
      </c>
      <c r="AM15" s="604">
        <f t="shared" si="26"/>
        <v>0</v>
      </c>
      <c r="AN15" s="306"/>
      <c r="AO15" s="307"/>
      <c r="AP15" s="298">
        <v>5887</v>
      </c>
      <c r="AQ15" s="307">
        <v>5886</v>
      </c>
      <c r="AR15" s="298">
        <v>4150</v>
      </c>
      <c r="AS15" s="307">
        <v>3448</v>
      </c>
      <c r="AT15" s="298">
        <v>6525</v>
      </c>
      <c r="AU15" s="307">
        <v>6108</v>
      </c>
      <c r="AV15" s="601">
        <f t="shared" si="27"/>
        <v>16562</v>
      </c>
      <c r="AW15" s="609">
        <f t="shared" si="28"/>
        <v>690.08333333333337</v>
      </c>
      <c r="AX15" s="603">
        <f t="shared" si="29"/>
        <v>15442</v>
      </c>
      <c r="AY15" s="610">
        <f t="shared" si="30"/>
        <v>643.41666666666663</v>
      </c>
      <c r="AZ15" s="611">
        <f t="shared" si="31"/>
        <v>5867.9833333333327</v>
      </c>
      <c r="BA15" s="603">
        <f t="shared" si="32"/>
        <v>5854.7833333333338</v>
      </c>
    </row>
    <row r="16" spans="1:53">
      <c r="A16" s="352" t="s">
        <v>28</v>
      </c>
      <c r="B16" s="353" t="s">
        <v>282</v>
      </c>
      <c r="C16" s="354"/>
      <c r="D16" s="352">
        <v>100830</v>
      </c>
      <c r="E16" s="352">
        <v>4</v>
      </c>
      <c r="F16" s="296" t="s">
        <v>52</v>
      </c>
      <c r="G16" s="297" t="s">
        <v>52</v>
      </c>
      <c r="H16" s="298"/>
      <c r="I16" s="299"/>
      <c r="J16" s="298">
        <v>50062</v>
      </c>
      <c r="K16" s="299">
        <v>50147</v>
      </c>
      <c r="L16" s="298">
        <v>17096</v>
      </c>
      <c r="M16" s="299">
        <v>15040</v>
      </c>
      <c r="N16" s="298">
        <v>55193</v>
      </c>
      <c r="O16" s="299">
        <v>49118</v>
      </c>
      <c r="P16" s="601">
        <f t="shared" si="15"/>
        <v>122351</v>
      </c>
      <c r="Q16" s="602">
        <f t="shared" si="16"/>
        <v>4078.3666666666668</v>
      </c>
      <c r="R16" s="603">
        <f t="shared" si="17"/>
        <v>114305</v>
      </c>
      <c r="S16" s="604">
        <f t="shared" si="18"/>
        <v>3810.1666666666665</v>
      </c>
      <c r="T16" s="298">
        <v>35</v>
      </c>
      <c r="U16" s="357">
        <v>77</v>
      </c>
      <c r="V16" s="601">
        <f t="shared" si="19"/>
        <v>122351</v>
      </c>
      <c r="W16" s="605">
        <f t="shared" si="20"/>
        <v>114305</v>
      </c>
      <c r="X16" s="305"/>
      <c r="Y16" s="299"/>
      <c r="Z16" s="298"/>
      <c r="AA16" s="299"/>
      <c r="AB16" s="298"/>
      <c r="AC16" s="299"/>
      <c r="AD16" s="298"/>
      <c r="AE16" s="299"/>
      <c r="AF16" s="601">
        <f t="shared" si="21"/>
        <v>0</v>
      </c>
      <c r="AG16" s="602">
        <f t="shared" si="22"/>
        <v>0</v>
      </c>
      <c r="AH16" s="603">
        <f t="shared" si="23"/>
        <v>0</v>
      </c>
      <c r="AI16" s="603">
        <f t="shared" si="24"/>
        <v>0</v>
      </c>
      <c r="AJ16" s="298"/>
      <c r="AK16" s="299"/>
      <c r="AL16" s="601">
        <f t="shared" si="25"/>
        <v>0</v>
      </c>
      <c r="AM16" s="604">
        <f t="shared" si="26"/>
        <v>0</v>
      </c>
      <c r="AN16" s="306"/>
      <c r="AO16" s="307"/>
      <c r="AP16" s="298">
        <v>6105</v>
      </c>
      <c r="AQ16" s="307">
        <v>6140</v>
      </c>
      <c r="AR16" s="298">
        <v>3505</v>
      </c>
      <c r="AS16" s="307">
        <v>2740</v>
      </c>
      <c r="AT16" s="298">
        <v>6478</v>
      </c>
      <c r="AU16" s="307">
        <v>5581</v>
      </c>
      <c r="AV16" s="601">
        <f t="shared" si="27"/>
        <v>16088</v>
      </c>
      <c r="AW16" s="609">
        <f t="shared" si="28"/>
        <v>670.33333333333337</v>
      </c>
      <c r="AX16" s="603">
        <f t="shared" si="29"/>
        <v>14461</v>
      </c>
      <c r="AY16" s="610">
        <f t="shared" si="30"/>
        <v>602.54166666666663</v>
      </c>
      <c r="AZ16" s="611">
        <f t="shared" si="31"/>
        <v>4748.7</v>
      </c>
      <c r="BA16" s="603">
        <f t="shared" si="32"/>
        <v>4412.708333333333</v>
      </c>
    </row>
    <row r="17" spans="1:53">
      <c r="A17" s="352" t="s">
        <v>28</v>
      </c>
      <c r="B17" s="353" t="s">
        <v>283</v>
      </c>
      <c r="C17" s="354"/>
      <c r="D17" s="352">
        <v>101879</v>
      </c>
      <c r="E17" s="352">
        <v>4</v>
      </c>
      <c r="F17" s="296" t="s">
        <v>52</v>
      </c>
      <c r="G17" s="297" t="s">
        <v>52</v>
      </c>
      <c r="H17" s="298"/>
      <c r="I17" s="299"/>
      <c r="J17" s="298">
        <v>69948</v>
      </c>
      <c r="K17" s="299">
        <v>70318</v>
      </c>
      <c r="L17" s="298">
        <v>15309</v>
      </c>
      <c r="M17" s="299">
        <v>15907</v>
      </c>
      <c r="N17" s="298">
        <v>77091</v>
      </c>
      <c r="O17" s="299">
        <v>75370</v>
      </c>
      <c r="P17" s="601">
        <f t="shared" si="15"/>
        <v>162348</v>
      </c>
      <c r="Q17" s="602">
        <f t="shared" si="16"/>
        <v>5411.6</v>
      </c>
      <c r="R17" s="603">
        <f t="shared" si="17"/>
        <v>161595</v>
      </c>
      <c r="S17" s="604">
        <f t="shared" si="18"/>
        <v>5386.5</v>
      </c>
      <c r="T17" s="358">
        <v>2686</v>
      </c>
      <c r="U17" s="299">
        <v>2573</v>
      </c>
      <c r="V17" s="601">
        <f t="shared" si="19"/>
        <v>162348</v>
      </c>
      <c r="W17" s="605">
        <f t="shared" si="20"/>
        <v>161595</v>
      </c>
      <c r="X17" s="305"/>
      <c r="Y17" s="299"/>
      <c r="Z17" s="298"/>
      <c r="AA17" s="299"/>
      <c r="AB17" s="298"/>
      <c r="AC17" s="299"/>
      <c r="AD17" s="298"/>
      <c r="AE17" s="299"/>
      <c r="AF17" s="601">
        <f t="shared" si="21"/>
        <v>0</v>
      </c>
      <c r="AG17" s="602">
        <f t="shared" si="22"/>
        <v>0</v>
      </c>
      <c r="AH17" s="603">
        <f t="shared" si="23"/>
        <v>0</v>
      </c>
      <c r="AI17" s="603">
        <f t="shared" si="24"/>
        <v>0</v>
      </c>
      <c r="AJ17" s="298"/>
      <c r="AK17" s="299"/>
      <c r="AL17" s="601">
        <f t="shared" si="25"/>
        <v>0</v>
      </c>
      <c r="AM17" s="604">
        <f t="shared" si="26"/>
        <v>0</v>
      </c>
      <c r="AN17" s="306"/>
      <c r="AO17" s="307"/>
      <c r="AP17" s="298">
        <v>6317</v>
      </c>
      <c r="AQ17" s="307">
        <v>6629</v>
      </c>
      <c r="AR17" s="298">
        <v>3078</v>
      </c>
      <c r="AS17" s="307">
        <v>2994</v>
      </c>
      <c r="AT17" s="298">
        <v>6660</v>
      </c>
      <c r="AU17" s="307">
        <v>5698</v>
      </c>
      <c r="AV17" s="601">
        <f t="shared" si="27"/>
        <v>16055</v>
      </c>
      <c r="AW17" s="609">
        <f t="shared" si="28"/>
        <v>668.95833333333337</v>
      </c>
      <c r="AX17" s="603">
        <f t="shared" si="29"/>
        <v>15321</v>
      </c>
      <c r="AY17" s="610">
        <f t="shared" si="30"/>
        <v>638.375</v>
      </c>
      <c r="AZ17" s="611">
        <f t="shared" si="31"/>
        <v>6080.5583333333334</v>
      </c>
      <c r="BA17" s="603">
        <f t="shared" si="32"/>
        <v>6024.875</v>
      </c>
    </row>
    <row r="18" spans="1:53">
      <c r="A18" s="352" t="s">
        <v>28</v>
      </c>
      <c r="B18" s="353" t="s">
        <v>284</v>
      </c>
      <c r="C18" s="354"/>
      <c r="D18" s="352">
        <v>101709</v>
      </c>
      <c r="E18" s="352">
        <v>5</v>
      </c>
      <c r="F18" s="296" t="s">
        <v>52</v>
      </c>
      <c r="G18" s="297" t="s">
        <v>52</v>
      </c>
      <c r="H18" s="298"/>
      <c r="I18" s="299"/>
      <c r="J18" s="298">
        <v>32032</v>
      </c>
      <c r="K18" s="299">
        <v>31500</v>
      </c>
      <c r="L18" s="298">
        <v>7372</v>
      </c>
      <c r="M18" s="299">
        <v>6846</v>
      </c>
      <c r="N18" s="298">
        <v>33590</v>
      </c>
      <c r="O18" s="299">
        <v>34130</v>
      </c>
      <c r="P18" s="601">
        <f t="shared" si="15"/>
        <v>72994</v>
      </c>
      <c r="Q18" s="602">
        <f t="shared" si="16"/>
        <v>2433.1333333333332</v>
      </c>
      <c r="R18" s="603">
        <f t="shared" si="17"/>
        <v>72476</v>
      </c>
      <c r="S18" s="604">
        <f t="shared" si="18"/>
        <v>2415.8666666666668</v>
      </c>
      <c r="T18" s="298">
        <v>80</v>
      </c>
      <c r="U18" s="299">
        <v>71</v>
      </c>
      <c r="V18" s="601">
        <f t="shared" si="19"/>
        <v>72994</v>
      </c>
      <c r="W18" s="605">
        <f t="shared" si="20"/>
        <v>72476</v>
      </c>
      <c r="X18" s="305"/>
      <c r="Y18" s="299"/>
      <c r="Z18" s="298"/>
      <c r="AA18" s="299"/>
      <c r="AB18" s="298"/>
      <c r="AC18" s="299"/>
      <c r="AD18" s="298"/>
      <c r="AE18" s="299"/>
      <c r="AF18" s="601">
        <f t="shared" si="21"/>
        <v>0</v>
      </c>
      <c r="AG18" s="602">
        <f t="shared" si="22"/>
        <v>0</v>
      </c>
      <c r="AH18" s="603">
        <f t="shared" si="23"/>
        <v>0</v>
      </c>
      <c r="AI18" s="603">
        <f t="shared" si="24"/>
        <v>0</v>
      </c>
      <c r="AJ18" s="298"/>
      <c r="AK18" s="299"/>
      <c r="AL18" s="601">
        <f t="shared" si="25"/>
        <v>0</v>
      </c>
      <c r="AM18" s="604">
        <f t="shared" si="26"/>
        <v>0</v>
      </c>
      <c r="AN18" s="306"/>
      <c r="AO18" s="307"/>
      <c r="AP18" s="298">
        <v>3183</v>
      </c>
      <c r="AQ18" s="307">
        <v>3514</v>
      </c>
      <c r="AR18" s="298">
        <v>2618</v>
      </c>
      <c r="AS18" s="307">
        <v>2488</v>
      </c>
      <c r="AT18" s="298">
        <v>3758</v>
      </c>
      <c r="AU18" s="307">
        <v>5698</v>
      </c>
      <c r="AV18" s="601">
        <f t="shared" si="27"/>
        <v>9559</v>
      </c>
      <c r="AW18" s="609">
        <f t="shared" si="28"/>
        <v>398.29166666666669</v>
      </c>
      <c r="AX18" s="603">
        <f t="shared" si="29"/>
        <v>11700</v>
      </c>
      <c r="AY18" s="610">
        <f t="shared" si="30"/>
        <v>487.5</v>
      </c>
      <c r="AZ18" s="611">
        <f t="shared" si="31"/>
        <v>2831.4249999999997</v>
      </c>
      <c r="BA18" s="603">
        <f t="shared" si="32"/>
        <v>2903.3666666666668</v>
      </c>
    </row>
    <row r="19" spans="1:53">
      <c r="A19" s="352" t="s">
        <v>28</v>
      </c>
      <c r="B19" s="353" t="s">
        <v>285</v>
      </c>
      <c r="C19" s="354"/>
      <c r="D19" s="352">
        <v>101587</v>
      </c>
      <c r="E19" s="352">
        <v>5</v>
      </c>
      <c r="F19" s="296" t="s">
        <v>52</v>
      </c>
      <c r="G19" s="297" t="s">
        <v>52</v>
      </c>
      <c r="H19" s="298"/>
      <c r="I19" s="299"/>
      <c r="J19" s="298">
        <v>20753</v>
      </c>
      <c r="K19" s="299">
        <v>21131</v>
      </c>
      <c r="L19" s="298">
        <v>6559</v>
      </c>
      <c r="M19" s="299">
        <v>6056</v>
      </c>
      <c r="N19" s="298">
        <v>24021</v>
      </c>
      <c r="O19" s="299">
        <v>25093</v>
      </c>
      <c r="P19" s="601">
        <f t="shared" si="15"/>
        <v>51333</v>
      </c>
      <c r="Q19" s="602">
        <f t="shared" si="16"/>
        <v>1711.1</v>
      </c>
      <c r="R19" s="603">
        <f t="shared" si="17"/>
        <v>52280</v>
      </c>
      <c r="S19" s="604">
        <f t="shared" si="18"/>
        <v>1742.6666666666667</v>
      </c>
      <c r="T19" s="298">
        <v>76</v>
      </c>
      <c r="U19" s="299">
        <v>87</v>
      </c>
      <c r="V19" s="601">
        <f t="shared" si="19"/>
        <v>51333</v>
      </c>
      <c r="W19" s="605">
        <f t="shared" si="20"/>
        <v>52280</v>
      </c>
      <c r="X19" s="305"/>
      <c r="Y19" s="299"/>
      <c r="Z19" s="298"/>
      <c r="AA19" s="299"/>
      <c r="AB19" s="298"/>
      <c r="AC19" s="299"/>
      <c r="AD19" s="298"/>
      <c r="AE19" s="299"/>
      <c r="AF19" s="601">
        <f t="shared" si="21"/>
        <v>0</v>
      </c>
      <c r="AG19" s="602">
        <f t="shared" si="22"/>
        <v>0</v>
      </c>
      <c r="AH19" s="603">
        <f t="shared" si="23"/>
        <v>0</v>
      </c>
      <c r="AI19" s="603">
        <f t="shared" si="24"/>
        <v>0</v>
      </c>
      <c r="AJ19" s="298"/>
      <c r="AK19" s="299"/>
      <c r="AL19" s="601">
        <f t="shared" si="25"/>
        <v>0</v>
      </c>
      <c r="AM19" s="604">
        <f t="shared" si="26"/>
        <v>0</v>
      </c>
      <c r="AN19" s="306"/>
      <c r="AO19" s="307"/>
      <c r="AP19" s="298">
        <v>19077</v>
      </c>
      <c r="AQ19" s="307">
        <v>18582</v>
      </c>
      <c r="AR19" s="298">
        <v>11147</v>
      </c>
      <c r="AS19" s="307">
        <v>10252</v>
      </c>
      <c r="AT19" s="298">
        <v>18997</v>
      </c>
      <c r="AU19" s="307">
        <v>17751</v>
      </c>
      <c r="AV19" s="601">
        <f t="shared" si="27"/>
        <v>49221</v>
      </c>
      <c r="AW19" s="609">
        <f t="shared" si="28"/>
        <v>2050.875</v>
      </c>
      <c r="AX19" s="603">
        <f t="shared" si="29"/>
        <v>46585</v>
      </c>
      <c r="AY19" s="610">
        <f t="shared" si="30"/>
        <v>1941.0416666666667</v>
      </c>
      <c r="AZ19" s="611">
        <f t="shared" si="31"/>
        <v>3761.9749999999999</v>
      </c>
      <c r="BA19" s="603">
        <f t="shared" si="32"/>
        <v>3683.7083333333335</v>
      </c>
    </row>
    <row r="20" spans="1:53">
      <c r="A20" s="352" t="s">
        <v>28</v>
      </c>
      <c r="B20" s="353" t="s">
        <v>286</v>
      </c>
      <c r="C20" s="354"/>
      <c r="D20" s="352">
        <v>100812</v>
      </c>
      <c r="E20" s="352">
        <v>6</v>
      </c>
      <c r="F20" s="296" t="s">
        <v>52</v>
      </c>
      <c r="G20" s="297" t="s">
        <v>52</v>
      </c>
      <c r="H20" s="298"/>
      <c r="I20" s="299"/>
      <c r="J20" s="298">
        <v>33187</v>
      </c>
      <c r="K20" s="299">
        <v>32522</v>
      </c>
      <c r="L20" s="298">
        <v>21688</v>
      </c>
      <c r="M20" s="299">
        <v>20842</v>
      </c>
      <c r="N20" s="298">
        <v>34315</v>
      </c>
      <c r="O20" s="299">
        <v>32338</v>
      </c>
      <c r="P20" s="601">
        <f t="shared" si="15"/>
        <v>89190</v>
      </c>
      <c r="Q20" s="602">
        <f t="shared" si="16"/>
        <v>2973</v>
      </c>
      <c r="R20" s="603">
        <f t="shared" si="17"/>
        <v>85702</v>
      </c>
      <c r="S20" s="604">
        <f t="shared" si="18"/>
        <v>2856.7333333333331</v>
      </c>
      <c r="T20" s="298">
        <v>0</v>
      </c>
      <c r="U20" s="299">
        <v>0</v>
      </c>
      <c r="V20" s="601">
        <f t="shared" si="19"/>
        <v>89190</v>
      </c>
      <c r="W20" s="605">
        <f t="shared" si="20"/>
        <v>85702</v>
      </c>
      <c r="X20" s="305"/>
      <c r="Y20" s="299"/>
      <c r="Z20" s="298"/>
      <c r="AA20" s="299"/>
      <c r="AB20" s="298"/>
      <c r="AC20" s="299"/>
      <c r="AD20" s="298"/>
      <c r="AE20" s="299"/>
      <c r="AF20" s="601">
        <f t="shared" si="21"/>
        <v>0</v>
      </c>
      <c r="AG20" s="602">
        <f t="shared" si="22"/>
        <v>0</v>
      </c>
      <c r="AH20" s="603">
        <f t="shared" si="23"/>
        <v>0</v>
      </c>
      <c r="AI20" s="603">
        <f t="shared" si="24"/>
        <v>0</v>
      </c>
      <c r="AJ20" s="298"/>
      <c r="AK20" s="299"/>
      <c r="AL20" s="601">
        <f t="shared" si="25"/>
        <v>0</v>
      </c>
      <c r="AM20" s="604">
        <f t="shared" si="26"/>
        <v>0</v>
      </c>
      <c r="AN20" s="306"/>
      <c r="AO20" s="307"/>
      <c r="AP20" s="298"/>
      <c r="AQ20" s="307"/>
      <c r="AR20" s="298"/>
      <c r="AS20" s="307"/>
      <c r="AT20" s="298"/>
      <c r="AU20" s="307"/>
      <c r="AV20" s="601">
        <f t="shared" si="27"/>
        <v>0</v>
      </c>
      <c r="AW20" s="609">
        <f t="shared" si="28"/>
        <v>0</v>
      </c>
      <c r="AX20" s="603">
        <f t="shared" si="29"/>
        <v>0</v>
      </c>
      <c r="AY20" s="610">
        <f t="shared" si="30"/>
        <v>0</v>
      </c>
      <c r="AZ20" s="611">
        <f t="shared" si="31"/>
        <v>2973</v>
      </c>
      <c r="BA20" s="603">
        <f t="shared" si="32"/>
        <v>2856.7333333333331</v>
      </c>
    </row>
    <row r="21" spans="1:53">
      <c r="A21" s="352" t="s">
        <v>28</v>
      </c>
      <c r="B21" s="353" t="s">
        <v>291</v>
      </c>
      <c r="C21" s="423" t="s">
        <v>452</v>
      </c>
      <c r="D21" s="352">
        <v>101240</v>
      </c>
      <c r="E21" s="424">
        <v>8</v>
      </c>
      <c r="F21" s="296" t="s">
        <v>52</v>
      </c>
      <c r="G21" s="297" t="s">
        <v>52</v>
      </c>
      <c r="H21" s="298"/>
      <c r="I21" s="299"/>
      <c r="J21" s="298">
        <v>70538</v>
      </c>
      <c r="K21" s="299">
        <v>70362</v>
      </c>
      <c r="L21" s="298">
        <v>37324</v>
      </c>
      <c r="M21" s="299">
        <v>34759</v>
      </c>
      <c r="N21" s="298">
        <v>74798</v>
      </c>
      <c r="O21" s="299">
        <v>70491</v>
      </c>
      <c r="P21" s="601">
        <f t="shared" si="15"/>
        <v>182660</v>
      </c>
      <c r="Q21" s="602">
        <f t="shared" si="16"/>
        <v>6088.666666666667</v>
      </c>
      <c r="R21" s="603">
        <f t="shared" si="17"/>
        <v>175612</v>
      </c>
      <c r="S21" s="604">
        <f t="shared" si="18"/>
        <v>5853.7333333333336</v>
      </c>
      <c r="T21" s="298">
        <v>2092</v>
      </c>
      <c r="U21" s="299">
        <v>2689</v>
      </c>
      <c r="V21" s="601">
        <f t="shared" si="19"/>
        <v>182660</v>
      </c>
      <c r="W21" s="605">
        <f t="shared" si="20"/>
        <v>175612</v>
      </c>
      <c r="X21" s="305"/>
      <c r="Y21" s="299"/>
      <c r="Z21" s="298"/>
      <c r="AA21" s="299"/>
      <c r="AB21" s="298"/>
      <c r="AC21" s="299"/>
      <c r="AD21" s="298"/>
      <c r="AE21" s="299"/>
      <c r="AF21" s="601">
        <f t="shared" si="21"/>
        <v>0</v>
      </c>
      <c r="AG21" s="602">
        <f t="shared" si="22"/>
        <v>0</v>
      </c>
      <c r="AH21" s="603">
        <f t="shared" si="23"/>
        <v>0</v>
      </c>
      <c r="AI21" s="603">
        <f t="shared" si="24"/>
        <v>0</v>
      </c>
      <c r="AJ21" s="298"/>
      <c r="AK21" s="299"/>
      <c r="AL21" s="601">
        <f t="shared" si="25"/>
        <v>0</v>
      </c>
      <c r="AM21" s="604">
        <f t="shared" si="26"/>
        <v>0</v>
      </c>
      <c r="AN21" s="306"/>
      <c r="AO21" s="307"/>
      <c r="AP21" s="298"/>
      <c r="AQ21" s="307"/>
      <c r="AR21" s="298"/>
      <c r="AS21" s="307"/>
      <c r="AT21" s="298"/>
      <c r="AU21" s="307"/>
      <c r="AV21" s="601">
        <f t="shared" si="27"/>
        <v>0</v>
      </c>
      <c r="AW21" s="609">
        <f t="shared" si="28"/>
        <v>0</v>
      </c>
      <c r="AX21" s="603">
        <f t="shared" si="29"/>
        <v>0</v>
      </c>
      <c r="AY21" s="610">
        <f t="shared" si="30"/>
        <v>0</v>
      </c>
      <c r="AZ21" s="611">
        <f t="shared" si="31"/>
        <v>6088.666666666667</v>
      </c>
      <c r="BA21" s="603">
        <f t="shared" si="32"/>
        <v>5853.7333333333336</v>
      </c>
    </row>
    <row r="22" spans="1:53">
      <c r="A22" s="352" t="s">
        <v>28</v>
      </c>
      <c r="B22" s="353" t="s">
        <v>287</v>
      </c>
      <c r="C22" s="354"/>
      <c r="D22" s="352">
        <v>101505</v>
      </c>
      <c r="E22" s="352">
        <v>8</v>
      </c>
      <c r="F22" s="296" t="s">
        <v>52</v>
      </c>
      <c r="G22" s="297" t="s">
        <v>52</v>
      </c>
      <c r="H22" s="298"/>
      <c r="I22" s="299"/>
      <c r="J22" s="298">
        <v>74329</v>
      </c>
      <c r="K22" s="299">
        <v>78960</v>
      </c>
      <c r="L22" s="298">
        <v>40840</v>
      </c>
      <c r="M22" s="299">
        <v>41971</v>
      </c>
      <c r="N22" s="298">
        <v>84949</v>
      </c>
      <c r="O22" s="299">
        <v>81990</v>
      </c>
      <c r="P22" s="601">
        <f t="shared" si="15"/>
        <v>200118</v>
      </c>
      <c r="Q22" s="602">
        <f t="shared" si="16"/>
        <v>6670.6</v>
      </c>
      <c r="R22" s="603">
        <f t="shared" si="17"/>
        <v>202921</v>
      </c>
      <c r="S22" s="604">
        <f t="shared" si="18"/>
        <v>6764.0333333333338</v>
      </c>
      <c r="T22" s="298">
        <v>6177</v>
      </c>
      <c r="U22" s="299">
        <v>5753</v>
      </c>
      <c r="V22" s="601">
        <f t="shared" si="19"/>
        <v>200118</v>
      </c>
      <c r="W22" s="605">
        <f t="shared" si="20"/>
        <v>202921</v>
      </c>
      <c r="X22" s="305"/>
      <c r="Y22" s="299"/>
      <c r="Z22" s="298"/>
      <c r="AA22" s="299"/>
      <c r="AB22" s="298"/>
      <c r="AC22" s="299"/>
      <c r="AD22" s="298"/>
      <c r="AE22" s="299"/>
      <c r="AF22" s="601">
        <f t="shared" si="21"/>
        <v>0</v>
      </c>
      <c r="AG22" s="602">
        <f t="shared" si="22"/>
        <v>0</v>
      </c>
      <c r="AH22" s="603">
        <f t="shared" si="23"/>
        <v>0</v>
      </c>
      <c r="AI22" s="603">
        <f t="shared" si="24"/>
        <v>0</v>
      </c>
      <c r="AJ22" s="298"/>
      <c r="AK22" s="299"/>
      <c r="AL22" s="601">
        <f t="shared" si="25"/>
        <v>0</v>
      </c>
      <c r="AM22" s="604">
        <f t="shared" si="26"/>
        <v>0</v>
      </c>
      <c r="AN22" s="306"/>
      <c r="AO22" s="307"/>
      <c r="AP22" s="298"/>
      <c r="AQ22" s="307"/>
      <c r="AR22" s="298"/>
      <c r="AS22" s="307"/>
      <c r="AT22" s="298"/>
      <c r="AU22" s="307"/>
      <c r="AV22" s="601">
        <f t="shared" si="27"/>
        <v>0</v>
      </c>
      <c r="AW22" s="609">
        <f t="shared" si="28"/>
        <v>0</v>
      </c>
      <c r="AX22" s="603">
        <f t="shared" si="29"/>
        <v>0</v>
      </c>
      <c r="AY22" s="610">
        <f t="shared" si="30"/>
        <v>0</v>
      </c>
      <c r="AZ22" s="611">
        <f t="shared" si="31"/>
        <v>6670.6</v>
      </c>
      <c r="BA22" s="603">
        <f t="shared" si="32"/>
        <v>6764.0333333333338</v>
      </c>
    </row>
    <row r="23" spans="1:53">
      <c r="A23" s="352" t="s">
        <v>28</v>
      </c>
      <c r="B23" s="353" t="s">
        <v>288</v>
      </c>
      <c r="C23" s="354"/>
      <c r="D23" s="352">
        <v>101514</v>
      </c>
      <c r="E23" s="352">
        <v>8</v>
      </c>
      <c r="F23" s="296" t="s">
        <v>52</v>
      </c>
      <c r="G23" s="297" t="s">
        <v>52</v>
      </c>
      <c r="H23" s="298"/>
      <c r="I23" s="299"/>
      <c r="J23" s="298">
        <v>101044</v>
      </c>
      <c r="K23" s="299">
        <v>105691</v>
      </c>
      <c r="L23" s="298">
        <v>47388</v>
      </c>
      <c r="M23" s="299">
        <v>46471</v>
      </c>
      <c r="N23" s="298">
        <v>112345</v>
      </c>
      <c r="O23" s="299">
        <v>109962</v>
      </c>
      <c r="P23" s="601">
        <f t="shared" si="15"/>
        <v>260777</v>
      </c>
      <c r="Q23" s="602">
        <f t="shared" si="16"/>
        <v>8692.5666666666675</v>
      </c>
      <c r="R23" s="603">
        <f t="shared" si="17"/>
        <v>262124</v>
      </c>
      <c r="S23" s="604">
        <f t="shared" si="18"/>
        <v>8737.4666666666672</v>
      </c>
      <c r="T23" s="298">
        <v>8824</v>
      </c>
      <c r="U23" s="299">
        <v>9688</v>
      </c>
      <c r="V23" s="601">
        <f t="shared" si="19"/>
        <v>260777</v>
      </c>
      <c r="W23" s="605">
        <f t="shared" si="20"/>
        <v>262124</v>
      </c>
      <c r="X23" s="305"/>
      <c r="Y23" s="299"/>
      <c r="Z23" s="298"/>
      <c r="AA23" s="299"/>
      <c r="AB23" s="298"/>
      <c r="AC23" s="299"/>
      <c r="AD23" s="298"/>
      <c r="AE23" s="299"/>
      <c r="AF23" s="601">
        <f t="shared" si="21"/>
        <v>0</v>
      </c>
      <c r="AG23" s="602">
        <f t="shared" si="22"/>
        <v>0</v>
      </c>
      <c r="AH23" s="603">
        <f t="shared" si="23"/>
        <v>0</v>
      </c>
      <c r="AI23" s="603">
        <f t="shared" si="24"/>
        <v>0</v>
      </c>
      <c r="AJ23" s="298"/>
      <c r="AK23" s="299"/>
      <c r="AL23" s="601">
        <f t="shared" si="25"/>
        <v>0</v>
      </c>
      <c r="AM23" s="604">
        <f t="shared" si="26"/>
        <v>0</v>
      </c>
      <c r="AN23" s="306"/>
      <c r="AO23" s="307"/>
      <c r="AP23" s="298"/>
      <c r="AQ23" s="307"/>
      <c r="AR23" s="298"/>
      <c r="AS23" s="307"/>
      <c r="AT23" s="298"/>
      <c r="AU23" s="307"/>
      <c r="AV23" s="601">
        <f t="shared" si="27"/>
        <v>0</v>
      </c>
      <c r="AW23" s="609">
        <f t="shared" si="28"/>
        <v>0</v>
      </c>
      <c r="AX23" s="603">
        <f t="shared" si="29"/>
        <v>0</v>
      </c>
      <c r="AY23" s="610">
        <f t="shared" si="30"/>
        <v>0</v>
      </c>
      <c r="AZ23" s="611">
        <f t="shared" si="31"/>
        <v>8692.5666666666675</v>
      </c>
      <c r="BA23" s="603">
        <f t="shared" si="32"/>
        <v>8737.4666666666672</v>
      </c>
    </row>
    <row r="24" spans="1:53">
      <c r="A24" s="352" t="s">
        <v>28</v>
      </c>
      <c r="B24" s="547" t="s">
        <v>299</v>
      </c>
      <c r="C24" s="423" t="s">
        <v>452</v>
      </c>
      <c r="D24" s="352">
        <v>101295</v>
      </c>
      <c r="E24" s="424">
        <v>8</v>
      </c>
      <c r="F24" s="296" t="s">
        <v>52</v>
      </c>
      <c r="G24" s="297" t="s">
        <v>52</v>
      </c>
      <c r="H24" s="298"/>
      <c r="I24" s="299"/>
      <c r="J24" s="298">
        <v>68171</v>
      </c>
      <c r="K24" s="299">
        <v>67685</v>
      </c>
      <c r="L24" s="298">
        <v>35117</v>
      </c>
      <c r="M24" s="299">
        <v>31282</v>
      </c>
      <c r="N24" s="298">
        <v>69774</v>
      </c>
      <c r="O24" s="299">
        <v>61700</v>
      </c>
      <c r="P24" s="601">
        <f t="shared" si="15"/>
        <v>173062</v>
      </c>
      <c r="Q24" s="602">
        <f t="shared" si="16"/>
        <v>5768.7333333333336</v>
      </c>
      <c r="R24" s="603">
        <f t="shared" si="17"/>
        <v>160667</v>
      </c>
      <c r="S24" s="604">
        <f t="shared" si="18"/>
        <v>5355.5666666666666</v>
      </c>
      <c r="T24" s="298">
        <v>4730</v>
      </c>
      <c r="U24" s="299">
        <v>4673</v>
      </c>
      <c r="V24" s="601">
        <f t="shared" si="19"/>
        <v>173062</v>
      </c>
      <c r="W24" s="605">
        <f t="shared" si="20"/>
        <v>160667</v>
      </c>
      <c r="X24" s="305"/>
      <c r="Y24" s="299"/>
      <c r="Z24" s="298"/>
      <c r="AA24" s="299"/>
      <c r="AB24" s="298"/>
      <c r="AC24" s="299"/>
      <c r="AD24" s="298"/>
      <c r="AE24" s="299"/>
      <c r="AF24" s="601">
        <f t="shared" si="21"/>
        <v>0</v>
      </c>
      <c r="AG24" s="602">
        <f t="shared" si="22"/>
        <v>0</v>
      </c>
      <c r="AH24" s="603">
        <f t="shared" si="23"/>
        <v>0</v>
      </c>
      <c r="AI24" s="603">
        <f t="shared" si="24"/>
        <v>0</v>
      </c>
      <c r="AJ24" s="298"/>
      <c r="AK24" s="299"/>
      <c r="AL24" s="601">
        <f t="shared" si="25"/>
        <v>0</v>
      </c>
      <c r="AM24" s="604">
        <f t="shared" si="26"/>
        <v>0</v>
      </c>
      <c r="AN24" s="306"/>
      <c r="AO24" s="307"/>
      <c r="AP24" s="298"/>
      <c r="AQ24" s="307"/>
      <c r="AR24" s="298"/>
      <c r="AS24" s="307"/>
      <c r="AT24" s="298"/>
      <c r="AU24" s="307"/>
      <c r="AV24" s="601">
        <f t="shared" si="27"/>
        <v>0</v>
      </c>
      <c r="AW24" s="609">
        <f t="shared" si="28"/>
        <v>0</v>
      </c>
      <c r="AX24" s="603">
        <f t="shared" si="29"/>
        <v>0</v>
      </c>
      <c r="AY24" s="610">
        <f t="shared" si="30"/>
        <v>0</v>
      </c>
      <c r="AZ24" s="611">
        <f t="shared" si="31"/>
        <v>5768.7333333333336</v>
      </c>
      <c r="BA24" s="603">
        <f t="shared" si="32"/>
        <v>5355.5666666666666</v>
      </c>
    </row>
    <row r="25" spans="1:53">
      <c r="A25" s="352" t="s">
        <v>28</v>
      </c>
      <c r="B25" s="353" t="s">
        <v>289</v>
      </c>
      <c r="C25" s="354"/>
      <c r="D25" s="352">
        <v>102429</v>
      </c>
      <c r="E25" s="548">
        <v>9</v>
      </c>
      <c r="F25" s="296" t="s">
        <v>52</v>
      </c>
      <c r="G25" s="297" t="s">
        <v>52</v>
      </c>
      <c r="H25" s="298"/>
      <c r="I25" s="299"/>
      <c r="J25" s="298">
        <v>47199</v>
      </c>
      <c r="K25" s="299">
        <v>45434</v>
      </c>
      <c r="L25" s="298">
        <v>24194</v>
      </c>
      <c r="M25" s="299">
        <v>19403</v>
      </c>
      <c r="N25" s="298">
        <v>50399</v>
      </c>
      <c r="O25" s="299">
        <v>43114</v>
      </c>
      <c r="P25" s="601">
        <f t="shared" si="15"/>
        <v>121792</v>
      </c>
      <c r="Q25" s="602">
        <f t="shared" si="16"/>
        <v>4059.7333333333331</v>
      </c>
      <c r="R25" s="603">
        <f t="shared" si="17"/>
        <v>107951</v>
      </c>
      <c r="S25" s="604">
        <f t="shared" si="18"/>
        <v>3598.3666666666668</v>
      </c>
      <c r="T25" s="298">
        <v>1558</v>
      </c>
      <c r="U25" s="299">
        <v>1406</v>
      </c>
      <c r="V25" s="601">
        <f t="shared" si="19"/>
        <v>121792</v>
      </c>
      <c r="W25" s="605">
        <f t="shared" si="20"/>
        <v>107951</v>
      </c>
      <c r="X25" s="305"/>
      <c r="Y25" s="299"/>
      <c r="Z25" s="298"/>
      <c r="AA25" s="299"/>
      <c r="AB25" s="298"/>
      <c r="AC25" s="299"/>
      <c r="AD25" s="298"/>
      <c r="AE25" s="299"/>
      <c r="AF25" s="601">
        <f t="shared" si="21"/>
        <v>0</v>
      </c>
      <c r="AG25" s="602">
        <f t="shared" si="22"/>
        <v>0</v>
      </c>
      <c r="AH25" s="603">
        <f t="shared" si="23"/>
        <v>0</v>
      </c>
      <c r="AI25" s="603">
        <f t="shared" si="24"/>
        <v>0</v>
      </c>
      <c r="AJ25" s="298"/>
      <c r="AK25" s="299"/>
      <c r="AL25" s="601">
        <f t="shared" si="25"/>
        <v>0</v>
      </c>
      <c r="AM25" s="604">
        <f t="shared" si="26"/>
        <v>0</v>
      </c>
      <c r="AN25" s="306"/>
      <c r="AO25" s="307"/>
      <c r="AP25" s="298"/>
      <c r="AQ25" s="307"/>
      <c r="AR25" s="298"/>
      <c r="AS25" s="307"/>
      <c r="AT25" s="298"/>
      <c r="AU25" s="307"/>
      <c r="AV25" s="601">
        <f t="shared" si="27"/>
        <v>0</v>
      </c>
      <c r="AW25" s="609">
        <f t="shared" si="28"/>
        <v>0</v>
      </c>
      <c r="AX25" s="603">
        <f t="shared" si="29"/>
        <v>0</v>
      </c>
      <c r="AY25" s="610">
        <f t="shared" si="30"/>
        <v>0</v>
      </c>
      <c r="AZ25" s="611">
        <f t="shared" si="31"/>
        <v>4059.7333333333331</v>
      </c>
      <c r="BA25" s="603">
        <f t="shared" si="32"/>
        <v>3598.3666666666668</v>
      </c>
    </row>
    <row r="26" spans="1:53">
      <c r="A26" s="352" t="s">
        <v>28</v>
      </c>
      <c r="B26" s="549" t="s">
        <v>290</v>
      </c>
      <c r="C26" s="354"/>
      <c r="D26" s="352">
        <v>102030</v>
      </c>
      <c r="E26" s="352">
        <v>9</v>
      </c>
      <c r="F26" s="296" t="s">
        <v>52</v>
      </c>
      <c r="G26" s="297" t="s">
        <v>52</v>
      </c>
      <c r="H26" s="298"/>
      <c r="I26" s="299"/>
      <c r="J26" s="298">
        <v>35275</v>
      </c>
      <c r="K26" s="299">
        <v>36750</v>
      </c>
      <c r="L26" s="298">
        <v>16660</v>
      </c>
      <c r="M26" s="299">
        <v>16077</v>
      </c>
      <c r="N26" s="298">
        <v>34475</v>
      </c>
      <c r="O26" s="299">
        <v>37535</v>
      </c>
      <c r="P26" s="601">
        <f t="shared" si="15"/>
        <v>86410</v>
      </c>
      <c r="Q26" s="602">
        <f t="shared" si="16"/>
        <v>2880.3333333333335</v>
      </c>
      <c r="R26" s="603">
        <f t="shared" si="17"/>
        <v>90362</v>
      </c>
      <c r="S26" s="604">
        <f t="shared" si="18"/>
        <v>3012.0666666666666</v>
      </c>
      <c r="T26" s="298">
        <v>3809</v>
      </c>
      <c r="U26" s="299">
        <v>3808</v>
      </c>
      <c r="V26" s="601">
        <f t="shared" si="19"/>
        <v>86410</v>
      </c>
      <c r="W26" s="605">
        <f t="shared" si="20"/>
        <v>90362</v>
      </c>
      <c r="X26" s="305"/>
      <c r="Y26" s="299"/>
      <c r="Z26" s="298"/>
      <c r="AA26" s="299"/>
      <c r="AB26" s="298"/>
      <c r="AC26" s="299"/>
      <c r="AD26" s="298"/>
      <c r="AE26" s="299"/>
      <c r="AF26" s="601">
        <f t="shared" si="21"/>
        <v>0</v>
      </c>
      <c r="AG26" s="602">
        <f t="shared" si="22"/>
        <v>0</v>
      </c>
      <c r="AH26" s="603">
        <f t="shared" si="23"/>
        <v>0</v>
      </c>
      <c r="AI26" s="603">
        <f t="shared" si="24"/>
        <v>0</v>
      </c>
      <c r="AJ26" s="298"/>
      <c r="AK26" s="299"/>
      <c r="AL26" s="601">
        <f t="shared" si="25"/>
        <v>0</v>
      </c>
      <c r="AM26" s="604">
        <f t="shared" si="26"/>
        <v>0</v>
      </c>
      <c r="AN26" s="306"/>
      <c r="AO26" s="307"/>
      <c r="AP26" s="298"/>
      <c r="AQ26" s="307"/>
      <c r="AR26" s="298"/>
      <c r="AS26" s="307"/>
      <c r="AT26" s="298"/>
      <c r="AU26" s="307"/>
      <c r="AV26" s="601">
        <f t="shared" si="27"/>
        <v>0</v>
      </c>
      <c r="AW26" s="609">
        <f t="shared" si="28"/>
        <v>0</v>
      </c>
      <c r="AX26" s="603">
        <f t="shared" si="29"/>
        <v>0</v>
      </c>
      <c r="AY26" s="610">
        <f t="shared" si="30"/>
        <v>0</v>
      </c>
      <c r="AZ26" s="611">
        <f t="shared" si="31"/>
        <v>2880.3333333333335</v>
      </c>
      <c r="BA26" s="603">
        <f t="shared" si="32"/>
        <v>3012.0666666666666</v>
      </c>
    </row>
    <row r="27" spans="1:53">
      <c r="A27" s="352" t="s">
        <v>28</v>
      </c>
      <c r="B27" s="361" t="s">
        <v>301</v>
      </c>
      <c r="C27" s="423" t="s">
        <v>453</v>
      </c>
      <c r="D27" s="352">
        <v>100760</v>
      </c>
      <c r="E27" s="424">
        <v>9</v>
      </c>
      <c r="F27" s="296" t="s">
        <v>52</v>
      </c>
      <c r="G27" s="297" t="s">
        <v>52</v>
      </c>
      <c r="H27" s="298"/>
      <c r="I27" s="299"/>
      <c r="J27" s="298">
        <v>25308</v>
      </c>
      <c r="K27" s="299">
        <v>23564</v>
      </c>
      <c r="L27" s="298">
        <v>14585</v>
      </c>
      <c r="M27" s="299">
        <v>12652</v>
      </c>
      <c r="N27" s="298">
        <v>26629</v>
      </c>
      <c r="O27" s="299">
        <v>26211</v>
      </c>
      <c r="P27" s="601">
        <f t="shared" si="15"/>
        <v>66522</v>
      </c>
      <c r="Q27" s="602">
        <f t="shared" si="16"/>
        <v>2217.4</v>
      </c>
      <c r="R27" s="603">
        <f t="shared" si="17"/>
        <v>62427</v>
      </c>
      <c r="S27" s="604">
        <f t="shared" si="18"/>
        <v>2080.9</v>
      </c>
      <c r="T27" s="298">
        <v>870</v>
      </c>
      <c r="U27" s="299">
        <v>870</v>
      </c>
      <c r="V27" s="601">
        <f t="shared" si="19"/>
        <v>66522</v>
      </c>
      <c r="W27" s="605">
        <f t="shared" si="20"/>
        <v>62427</v>
      </c>
      <c r="X27" s="305"/>
      <c r="Y27" s="299"/>
      <c r="Z27" s="298"/>
      <c r="AA27" s="299"/>
      <c r="AB27" s="298"/>
      <c r="AC27" s="299"/>
      <c r="AD27" s="298"/>
      <c r="AE27" s="299"/>
      <c r="AF27" s="601">
        <f t="shared" si="21"/>
        <v>0</v>
      </c>
      <c r="AG27" s="602">
        <f t="shared" si="22"/>
        <v>0</v>
      </c>
      <c r="AH27" s="603">
        <f t="shared" si="23"/>
        <v>0</v>
      </c>
      <c r="AI27" s="603">
        <f t="shared" si="24"/>
        <v>0</v>
      </c>
      <c r="AJ27" s="298"/>
      <c r="AK27" s="299"/>
      <c r="AL27" s="601">
        <f t="shared" si="25"/>
        <v>0</v>
      </c>
      <c r="AM27" s="604">
        <f t="shared" si="26"/>
        <v>0</v>
      </c>
      <c r="AN27" s="306"/>
      <c r="AO27" s="307"/>
      <c r="AP27" s="298"/>
      <c r="AQ27" s="307"/>
      <c r="AR27" s="298"/>
      <c r="AS27" s="307"/>
      <c r="AT27" s="298"/>
      <c r="AU27" s="307"/>
      <c r="AV27" s="601">
        <f t="shared" si="27"/>
        <v>0</v>
      </c>
      <c r="AW27" s="609">
        <f t="shared" si="28"/>
        <v>0</v>
      </c>
      <c r="AX27" s="603">
        <f t="shared" si="29"/>
        <v>0</v>
      </c>
      <c r="AY27" s="610">
        <f t="shared" si="30"/>
        <v>0</v>
      </c>
      <c r="AZ27" s="611">
        <f t="shared" si="31"/>
        <v>2217.4</v>
      </c>
      <c r="BA27" s="603">
        <f t="shared" si="32"/>
        <v>2080.9</v>
      </c>
    </row>
    <row r="28" spans="1:53">
      <c r="A28" s="352" t="s">
        <v>28</v>
      </c>
      <c r="B28" s="362" t="s">
        <v>303</v>
      </c>
      <c r="C28" s="423" t="s">
        <v>454</v>
      </c>
      <c r="D28" s="352">
        <v>101143</v>
      </c>
      <c r="E28" s="424">
        <v>9</v>
      </c>
      <c r="F28" s="296" t="s">
        <v>52</v>
      </c>
      <c r="G28" s="297" t="s">
        <v>52</v>
      </c>
      <c r="H28" s="298"/>
      <c r="I28" s="299"/>
      <c r="J28" s="298">
        <v>31998</v>
      </c>
      <c r="K28" s="299">
        <v>32701</v>
      </c>
      <c r="L28" s="298">
        <v>18066</v>
      </c>
      <c r="M28" s="299">
        <v>17224</v>
      </c>
      <c r="N28" s="298">
        <v>33445</v>
      </c>
      <c r="O28" s="299">
        <v>31824</v>
      </c>
      <c r="P28" s="601">
        <f t="shared" si="15"/>
        <v>83509</v>
      </c>
      <c r="Q28" s="602">
        <f t="shared" si="16"/>
        <v>2783.6333333333332</v>
      </c>
      <c r="R28" s="603">
        <f t="shared" si="17"/>
        <v>81749</v>
      </c>
      <c r="S28" s="604">
        <f t="shared" si="18"/>
        <v>2724.9666666666667</v>
      </c>
      <c r="T28" s="298">
        <v>2539</v>
      </c>
      <c r="U28" s="299">
        <v>2660</v>
      </c>
      <c r="V28" s="601">
        <f t="shared" si="19"/>
        <v>83509</v>
      </c>
      <c r="W28" s="605">
        <f t="shared" si="20"/>
        <v>81749</v>
      </c>
      <c r="X28" s="305"/>
      <c r="Y28" s="299"/>
      <c r="Z28" s="298"/>
      <c r="AA28" s="299"/>
      <c r="AB28" s="298"/>
      <c r="AC28" s="299"/>
      <c r="AD28" s="298"/>
      <c r="AE28" s="299"/>
      <c r="AF28" s="601">
        <f t="shared" si="21"/>
        <v>0</v>
      </c>
      <c r="AG28" s="602">
        <f t="shared" si="22"/>
        <v>0</v>
      </c>
      <c r="AH28" s="603">
        <f t="shared" si="23"/>
        <v>0</v>
      </c>
      <c r="AI28" s="603">
        <f t="shared" si="24"/>
        <v>0</v>
      </c>
      <c r="AJ28" s="298"/>
      <c r="AK28" s="299"/>
      <c r="AL28" s="601">
        <f t="shared" si="25"/>
        <v>0</v>
      </c>
      <c r="AM28" s="604">
        <f t="shared" si="26"/>
        <v>0</v>
      </c>
      <c r="AN28" s="306"/>
      <c r="AO28" s="307"/>
      <c r="AP28" s="298"/>
      <c r="AQ28" s="307"/>
      <c r="AR28" s="298"/>
      <c r="AS28" s="307"/>
      <c r="AT28" s="298"/>
      <c r="AU28" s="307"/>
      <c r="AV28" s="601">
        <f t="shared" si="27"/>
        <v>0</v>
      </c>
      <c r="AW28" s="609">
        <f t="shared" si="28"/>
        <v>0</v>
      </c>
      <c r="AX28" s="603">
        <f t="shared" si="29"/>
        <v>0</v>
      </c>
      <c r="AY28" s="610">
        <f t="shared" si="30"/>
        <v>0</v>
      </c>
      <c r="AZ28" s="611">
        <f t="shared" si="31"/>
        <v>2783.6333333333332</v>
      </c>
      <c r="BA28" s="603">
        <f t="shared" si="32"/>
        <v>2724.9666666666667</v>
      </c>
    </row>
    <row r="29" spans="1:53">
      <c r="A29" s="352" t="s">
        <v>28</v>
      </c>
      <c r="B29" s="547" t="s">
        <v>292</v>
      </c>
      <c r="C29" s="354"/>
      <c r="D29" s="352">
        <v>101286</v>
      </c>
      <c r="E29" s="548">
        <v>9</v>
      </c>
      <c r="F29" s="296" t="s">
        <v>52</v>
      </c>
      <c r="G29" s="297" t="s">
        <v>52</v>
      </c>
      <c r="H29" s="298"/>
      <c r="I29" s="299"/>
      <c r="J29" s="298">
        <v>47964</v>
      </c>
      <c r="K29" s="299">
        <v>48365</v>
      </c>
      <c r="L29" s="298">
        <v>28115</v>
      </c>
      <c r="M29" s="299">
        <v>27326</v>
      </c>
      <c r="N29" s="298">
        <v>50522</v>
      </c>
      <c r="O29" s="299">
        <v>49568</v>
      </c>
      <c r="P29" s="601">
        <f t="shared" si="15"/>
        <v>126601</v>
      </c>
      <c r="Q29" s="602">
        <f t="shared" si="16"/>
        <v>4220.0333333333338</v>
      </c>
      <c r="R29" s="603">
        <f t="shared" si="17"/>
        <v>125259</v>
      </c>
      <c r="S29" s="604">
        <f t="shared" si="18"/>
        <v>4175.3</v>
      </c>
      <c r="T29" s="298">
        <v>2370</v>
      </c>
      <c r="U29" s="299">
        <v>1953</v>
      </c>
      <c r="V29" s="601">
        <f t="shared" si="19"/>
        <v>126601</v>
      </c>
      <c r="W29" s="605">
        <f t="shared" si="20"/>
        <v>125259</v>
      </c>
      <c r="X29" s="305"/>
      <c r="Y29" s="299"/>
      <c r="Z29" s="298"/>
      <c r="AA29" s="299"/>
      <c r="AB29" s="298"/>
      <c r="AC29" s="299"/>
      <c r="AD29" s="298"/>
      <c r="AE29" s="299"/>
      <c r="AF29" s="601">
        <f t="shared" si="21"/>
        <v>0</v>
      </c>
      <c r="AG29" s="602">
        <f t="shared" si="22"/>
        <v>0</v>
      </c>
      <c r="AH29" s="603">
        <f t="shared" si="23"/>
        <v>0</v>
      </c>
      <c r="AI29" s="603">
        <f t="shared" si="24"/>
        <v>0</v>
      </c>
      <c r="AJ29" s="298"/>
      <c r="AK29" s="299"/>
      <c r="AL29" s="601">
        <f t="shared" si="25"/>
        <v>0</v>
      </c>
      <c r="AM29" s="604">
        <f t="shared" si="26"/>
        <v>0</v>
      </c>
      <c r="AN29" s="306"/>
      <c r="AO29" s="307"/>
      <c r="AP29" s="298"/>
      <c r="AQ29" s="307"/>
      <c r="AR29" s="298"/>
      <c r="AS29" s="307"/>
      <c r="AT29" s="298"/>
      <c r="AU29" s="307"/>
      <c r="AV29" s="601">
        <f t="shared" si="27"/>
        <v>0</v>
      </c>
      <c r="AW29" s="609">
        <f t="shared" si="28"/>
        <v>0</v>
      </c>
      <c r="AX29" s="603">
        <f t="shared" si="29"/>
        <v>0</v>
      </c>
      <c r="AY29" s="610">
        <f t="shared" si="30"/>
        <v>0</v>
      </c>
      <c r="AZ29" s="611">
        <f t="shared" si="31"/>
        <v>4220.0333333333338</v>
      </c>
      <c r="BA29" s="603">
        <f t="shared" si="32"/>
        <v>4175.3</v>
      </c>
    </row>
    <row r="30" spans="1:53">
      <c r="A30" s="352" t="s">
        <v>28</v>
      </c>
      <c r="B30" s="353" t="s">
        <v>293</v>
      </c>
      <c r="C30" s="354"/>
      <c r="D30" s="352">
        <v>101161</v>
      </c>
      <c r="E30" s="352">
        <v>9</v>
      </c>
      <c r="F30" s="296" t="s">
        <v>52</v>
      </c>
      <c r="G30" s="297" t="s">
        <v>52</v>
      </c>
      <c r="H30" s="298"/>
      <c r="I30" s="299"/>
      <c r="J30" s="298">
        <v>46228</v>
      </c>
      <c r="K30" s="299">
        <v>48165</v>
      </c>
      <c r="L30" s="298">
        <v>21933</v>
      </c>
      <c r="M30" s="299">
        <v>22353</v>
      </c>
      <c r="N30" s="298">
        <v>50470</v>
      </c>
      <c r="O30" s="299">
        <v>47216</v>
      </c>
      <c r="P30" s="601">
        <f t="shared" si="15"/>
        <v>118631</v>
      </c>
      <c r="Q30" s="602">
        <f t="shared" si="16"/>
        <v>3954.3666666666668</v>
      </c>
      <c r="R30" s="603">
        <f t="shared" si="17"/>
        <v>117734</v>
      </c>
      <c r="S30" s="604">
        <f t="shared" si="18"/>
        <v>3924.4666666666667</v>
      </c>
      <c r="T30" s="298">
        <v>2453</v>
      </c>
      <c r="U30" s="299">
        <v>2833</v>
      </c>
      <c r="V30" s="601">
        <f t="shared" si="19"/>
        <v>118631</v>
      </c>
      <c r="W30" s="605">
        <f t="shared" si="20"/>
        <v>117734</v>
      </c>
      <c r="X30" s="305"/>
      <c r="Y30" s="299"/>
      <c r="Z30" s="298"/>
      <c r="AA30" s="299"/>
      <c r="AB30" s="298"/>
      <c r="AC30" s="299"/>
      <c r="AD30" s="298"/>
      <c r="AE30" s="299"/>
      <c r="AF30" s="601">
        <f t="shared" si="21"/>
        <v>0</v>
      </c>
      <c r="AG30" s="602">
        <f t="shared" si="22"/>
        <v>0</v>
      </c>
      <c r="AH30" s="603">
        <f t="shared" si="23"/>
        <v>0</v>
      </c>
      <c r="AI30" s="603">
        <f t="shared" si="24"/>
        <v>0</v>
      </c>
      <c r="AJ30" s="298"/>
      <c r="AK30" s="299"/>
      <c r="AL30" s="601">
        <f t="shared" si="25"/>
        <v>0</v>
      </c>
      <c r="AM30" s="604">
        <f t="shared" si="26"/>
        <v>0</v>
      </c>
      <c r="AN30" s="306"/>
      <c r="AO30" s="307"/>
      <c r="AP30" s="298"/>
      <c r="AQ30" s="307"/>
      <c r="AR30" s="298"/>
      <c r="AS30" s="307"/>
      <c r="AT30" s="298"/>
      <c r="AU30" s="307"/>
      <c r="AV30" s="601">
        <f t="shared" si="27"/>
        <v>0</v>
      </c>
      <c r="AW30" s="609">
        <f t="shared" si="28"/>
        <v>0</v>
      </c>
      <c r="AX30" s="603">
        <f t="shared" si="29"/>
        <v>0</v>
      </c>
      <c r="AY30" s="610">
        <f t="shared" si="30"/>
        <v>0</v>
      </c>
      <c r="AZ30" s="611">
        <f t="shared" si="31"/>
        <v>3954.3666666666668</v>
      </c>
      <c r="BA30" s="603">
        <f t="shared" si="32"/>
        <v>3924.4666666666667</v>
      </c>
    </row>
    <row r="31" spans="1:53">
      <c r="A31" s="352" t="s">
        <v>28</v>
      </c>
      <c r="B31" s="353" t="s">
        <v>294</v>
      </c>
      <c r="C31" s="354"/>
      <c r="D31" s="352">
        <v>101569</v>
      </c>
      <c r="E31" s="352">
        <v>9</v>
      </c>
      <c r="F31" s="296" t="s">
        <v>52</v>
      </c>
      <c r="G31" s="297" t="s">
        <v>52</v>
      </c>
      <c r="H31" s="298"/>
      <c r="I31" s="299"/>
      <c r="J31" s="298">
        <v>44406</v>
      </c>
      <c r="K31" s="299">
        <v>46382</v>
      </c>
      <c r="L31" s="298">
        <v>21840</v>
      </c>
      <c r="M31" s="299">
        <v>22575</v>
      </c>
      <c r="N31" s="298">
        <v>50388</v>
      </c>
      <c r="O31" s="299">
        <v>45440</v>
      </c>
      <c r="P31" s="601">
        <f t="shared" si="15"/>
        <v>116634</v>
      </c>
      <c r="Q31" s="602">
        <f t="shared" si="16"/>
        <v>3887.8</v>
      </c>
      <c r="R31" s="603">
        <f t="shared" si="17"/>
        <v>114397</v>
      </c>
      <c r="S31" s="604">
        <f t="shared" si="18"/>
        <v>3813.2333333333331</v>
      </c>
      <c r="T31" s="298">
        <v>539</v>
      </c>
      <c r="U31" s="299">
        <v>825</v>
      </c>
      <c r="V31" s="601">
        <f t="shared" si="19"/>
        <v>116634</v>
      </c>
      <c r="W31" s="605">
        <f t="shared" si="20"/>
        <v>114397</v>
      </c>
      <c r="X31" s="305"/>
      <c r="Y31" s="299"/>
      <c r="Z31" s="298"/>
      <c r="AA31" s="299"/>
      <c r="AB31" s="298"/>
      <c r="AC31" s="299"/>
      <c r="AD31" s="298"/>
      <c r="AE31" s="299"/>
      <c r="AF31" s="601">
        <f t="shared" si="21"/>
        <v>0</v>
      </c>
      <c r="AG31" s="602">
        <f t="shared" si="22"/>
        <v>0</v>
      </c>
      <c r="AH31" s="603">
        <f t="shared" si="23"/>
        <v>0</v>
      </c>
      <c r="AI31" s="603">
        <f t="shared" si="24"/>
        <v>0</v>
      </c>
      <c r="AJ31" s="298"/>
      <c r="AK31" s="299"/>
      <c r="AL31" s="601">
        <f t="shared" si="25"/>
        <v>0</v>
      </c>
      <c r="AM31" s="604">
        <f t="shared" si="26"/>
        <v>0</v>
      </c>
      <c r="AN31" s="306"/>
      <c r="AO31" s="307"/>
      <c r="AP31" s="298"/>
      <c r="AQ31" s="307"/>
      <c r="AR31" s="298"/>
      <c r="AS31" s="307"/>
      <c r="AT31" s="298"/>
      <c r="AU31" s="307"/>
      <c r="AV31" s="601">
        <f t="shared" si="27"/>
        <v>0</v>
      </c>
      <c r="AW31" s="609">
        <f t="shared" si="28"/>
        <v>0</v>
      </c>
      <c r="AX31" s="603">
        <f t="shared" si="29"/>
        <v>0</v>
      </c>
      <c r="AY31" s="610">
        <f t="shared" si="30"/>
        <v>0</v>
      </c>
      <c r="AZ31" s="611">
        <f t="shared" si="31"/>
        <v>3887.8</v>
      </c>
      <c r="BA31" s="603">
        <f t="shared" si="32"/>
        <v>3813.2333333333331</v>
      </c>
    </row>
    <row r="32" spans="1:53">
      <c r="A32" s="352" t="s">
        <v>28</v>
      </c>
      <c r="B32" s="359" t="s">
        <v>295</v>
      </c>
      <c r="C32" s="354"/>
      <c r="D32" s="352">
        <v>101897</v>
      </c>
      <c r="E32" s="360">
        <v>9</v>
      </c>
      <c r="F32" s="296" t="s">
        <v>52</v>
      </c>
      <c r="G32" s="297" t="s">
        <v>52</v>
      </c>
      <c r="H32" s="298"/>
      <c r="I32" s="299"/>
      <c r="J32" s="298">
        <v>34359</v>
      </c>
      <c r="K32" s="299">
        <v>33700</v>
      </c>
      <c r="L32" s="298">
        <v>19229</v>
      </c>
      <c r="M32" s="299">
        <v>17668</v>
      </c>
      <c r="N32" s="298">
        <v>35748</v>
      </c>
      <c r="O32" s="299">
        <v>33253</v>
      </c>
      <c r="P32" s="601">
        <f t="shared" si="15"/>
        <v>89336</v>
      </c>
      <c r="Q32" s="602">
        <f t="shared" si="16"/>
        <v>2977.8666666666668</v>
      </c>
      <c r="R32" s="603">
        <f t="shared" si="17"/>
        <v>84621</v>
      </c>
      <c r="S32" s="604">
        <f t="shared" si="18"/>
        <v>2820.7</v>
      </c>
      <c r="T32" s="298">
        <v>3698</v>
      </c>
      <c r="U32" s="299">
        <v>3830</v>
      </c>
      <c r="V32" s="601">
        <f t="shared" si="19"/>
        <v>89336</v>
      </c>
      <c r="W32" s="605">
        <f t="shared" si="20"/>
        <v>84621</v>
      </c>
      <c r="X32" s="305"/>
      <c r="Y32" s="299"/>
      <c r="Z32" s="298"/>
      <c r="AA32" s="299"/>
      <c r="AB32" s="298"/>
      <c r="AC32" s="299"/>
      <c r="AD32" s="298"/>
      <c r="AE32" s="299"/>
      <c r="AF32" s="601">
        <f t="shared" si="21"/>
        <v>0</v>
      </c>
      <c r="AG32" s="602">
        <f t="shared" si="22"/>
        <v>0</v>
      </c>
      <c r="AH32" s="603">
        <f t="shared" si="23"/>
        <v>0</v>
      </c>
      <c r="AI32" s="603">
        <f t="shared" si="24"/>
        <v>0</v>
      </c>
      <c r="AJ32" s="298"/>
      <c r="AK32" s="299"/>
      <c r="AL32" s="601">
        <f t="shared" si="25"/>
        <v>0</v>
      </c>
      <c r="AM32" s="604">
        <f t="shared" si="26"/>
        <v>0</v>
      </c>
      <c r="AN32" s="306"/>
      <c r="AO32" s="307"/>
      <c r="AP32" s="298"/>
      <c r="AQ32" s="307"/>
      <c r="AR32" s="298"/>
      <c r="AS32" s="307"/>
      <c r="AT32" s="298"/>
      <c r="AU32" s="307"/>
      <c r="AV32" s="601">
        <f t="shared" si="27"/>
        <v>0</v>
      </c>
      <c r="AW32" s="609">
        <f t="shared" si="28"/>
        <v>0</v>
      </c>
      <c r="AX32" s="603">
        <f t="shared" si="29"/>
        <v>0</v>
      </c>
      <c r="AY32" s="610">
        <f t="shared" si="30"/>
        <v>0</v>
      </c>
      <c r="AZ32" s="611">
        <f t="shared" si="31"/>
        <v>2977.8666666666668</v>
      </c>
      <c r="BA32" s="603">
        <f t="shared" si="32"/>
        <v>2820.7</v>
      </c>
    </row>
    <row r="33" spans="1:53">
      <c r="A33" s="352" t="s">
        <v>28</v>
      </c>
      <c r="B33" s="353" t="s">
        <v>296</v>
      </c>
      <c r="C33" s="354"/>
      <c r="D33" s="352">
        <v>101736</v>
      </c>
      <c r="E33" s="548">
        <v>9</v>
      </c>
      <c r="F33" s="296" t="s">
        <v>52</v>
      </c>
      <c r="G33" s="297" t="s">
        <v>52</v>
      </c>
      <c r="H33" s="298"/>
      <c r="I33" s="299"/>
      <c r="J33" s="298">
        <v>41656</v>
      </c>
      <c r="K33" s="299">
        <v>40076</v>
      </c>
      <c r="L33" s="298">
        <v>18559</v>
      </c>
      <c r="M33" s="299">
        <v>15184</v>
      </c>
      <c r="N33" s="298">
        <v>45704</v>
      </c>
      <c r="O33" s="299">
        <v>38579</v>
      </c>
      <c r="P33" s="601">
        <f t="shared" si="15"/>
        <v>105919</v>
      </c>
      <c r="Q33" s="602">
        <f t="shared" si="16"/>
        <v>3530.6333333333332</v>
      </c>
      <c r="R33" s="603">
        <f t="shared" si="17"/>
        <v>93839</v>
      </c>
      <c r="S33" s="604">
        <f t="shared" si="18"/>
        <v>3127.9666666666667</v>
      </c>
      <c r="T33" s="298">
        <v>4331</v>
      </c>
      <c r="U33" s="299">
        <v>4701</v>
      </c>
      <c r="V33" s="601">
        <f t="shared" si="19"/>
        <v>105919</v>
      </c>
      <c r="W33" s="605">
        <f t="shared" si="20"/>
        <v>93839</v>
      </c>
      <c r="X33" s="305"/>
      <c r="Y33" s="299"/>
      <c r="Z33" s="298"/>
      <c r="AA33" s="299"/>
      <c r="AB33" s="298"/>
      <c r="AC33" s="299"/>
      <c r="AD33" s="298"/>
      <c r="AE33" s="299"/>
      <c r="AF33" s="601">
        <f t="shared" si="21"/>
        <v>0</v>
      </c>
      <c r="AG33" s="602">
        <f t="shared" si="22"/>
        <v>0</v>
      </c>
      <c r="AH33" s="603">
        <f t="shared" si="23"/>
        <v>0</v>
      </c>
      <c r="AI33" s="603">
        <f t="shared" si="24"/>
        <v>0</v>
      </c>
      <c r="AJ33" s="298"/>
      <c r="AK33" s="299"/>
      <c r="AL33" s="601">
        <f t="shared" si="25"/>
        <v>0</v>
      </c>
      <c r="AM33" s="604">
        <f t="shared" si="26"/>
        <v>0</v>
      </c>
      <c r="AN33" s="306"/>
      <c r="AO33" s="307"/>
      <c r="AP33" s="298"/>
      <c r="AQ33" s="307"/>
      <c r="AR33" s="298"/>
      <c r="AS33" s="307"/>
      <c r="AT33" s="298"/>
      <c r="AU33" s="307"/>
      <c r="AV33" s="601">
        <f t="shared" si="27"/>
        <v>0</v>
      </c>
      <c r="AW33" s="609">
        <f t="shared" si="28"/>
        <v>0</v>
      </c>
      <c r="AX33" s="603">
        <f t="shared" si="29"/>
        <v>0</v>
      </c>
      <c r="AY33" s="610">
        <f t="shared" si="30"/>
        <v>0</v>
      </c>
      <c r="AZ33" s="611">
        <f t="shared" si="31"/>
        <v>3530.6333333333332</v>
      </c>
      <c r="BA33" s="603">
        <f t="shared" si="32"/>
        <v>3127.9666666666667</v>
      </c>
    </row>
    <row r="34" spans="1:53">
      <c r="A34" s="352" t="s">
        <v>28</v>
      </c>
      <c r="B34" s="353" t="s">
        <v>297</v>
      </c>
      <c r="C34" s="354"/>
      <c r="D34" s="352">
        <v>102067</v>
      </c>
      <c r="E34" s="352">
        <v>9</v>
      </c>
      <c r="F34" s="296" t="s">
        <v>52</v>
      </c>
      <c r="G34" s="297" t="s">
        <v>52</v>
      </c>
      <c r="H34" s="298"/>
      <c r="I34" s="299"/>
      <c r="J34" s="298">
        <v>58953</v>
      </c>
      <c r="K34" s="299">
        <v>56989</v>
      </c>
      <c r="L34" s="298">
        <v>33481</v>
      </c>
      <c r="M34" s="299">
        <v>27055</v>
      </c>
      <c r="N34" s="298">
        <v>62915</v>
      </c>
      <c r="O34" s="299">
        <v>54601</v>
      </c>
      <c r="P34" s="601">
        <f t="shared" si="15"/>
        <v>155349</v>
      </c>
      <c r="Q34" s="602">
        <f t="shared" si="16"/>
        <v>5178.3</v>
      </c>
      <c r="R34" s="603">
        <f t="shared" si="17"/>
        <v>138645</v>
      </c>
      <c r="S34" s="604">
        <f t="shared" si="18"/>
        <v>4621.5</v>
      </c>
      <c r="T34" s="298">
        <v>886</v>
      </c>
      <c r="U34" s="299">
        <v>607</v>
      </c>
      <c r="V34" s="601">
        <f t="shared" si="19"/>
        <v>155349</v>
      </c>
      <c r="W34" s="605">
        <f t="shared" si="20"/>
        <v>138645</v>
      </c>
      <c r="X34" s="305"/>
      <c r="Y34" s="299"/>
      <c r="Z34" s="298"/>
      <c r="AA34" s="299"/>
      <c r="AB34" s="298"/>
      <c r="AC34" s="299"/>
      <c r="AD34" s="298"/>
      <c r="AE34" s="299"/>
      <c r="AF34" s="601">
        <f t="shared" si="21"/>
        <v>0</v>
      </c>
      <c r="AG34" s="602">
        <f t="shared" si="22"/>
        <v>0</v>
      </c>
      <c r="AH34" s="603">
        <f t="shared" si="23"/>
        <v>0</v>
      </c>
      <c r="AI34" s="603">
        <f t="shared" si="24"/>
        <v>0</v>
      </c>
      <c r="AJ34" s="298"/>
      <c r="AK34" s="299"/>
      <c r="AL34" s="601">
        <f t="shared" si="25"/>
        <v>0</v>
      </c>
      <c r="AM34" s="604">
        <f t="shared" si="26"/>
        <v>0</v>
      </c>
      <c r="AN34" s="306"/>
      <c r="AO34" s="307"/>
      <c r="AP34" s="298"/>
      <c r="AQ34" s="307"/>
      <c r="AR34" s="298"/>
      <c r="AS34" s="307"/>
      <c r="AT34" s="298"/>
      <c r="AU34" s="307"/>
      <c r="AV34" s="601">
        <f t="shared" si="27"/>
        <v>0</v>
      </c>
      <c r="AW34" s="609">
        <f t="shared" si="28"/>
        <v>0</v>
      </c>
      <c r="AX34" s="603">
        <f t="shared" si="29"/>
        <v>0</v>
      </c>
      <c r="AY34" s="610">
        <f t="shared" si="30"/>
        <v>0</v>
      </c>
      <c r="AZ34" s="611">
        <f t="shared" si="31"/>
        <v>5178.3</v>
      </c>
      <c r="BA34" s="603">
        <f t="shared" si="32"/>
        <v>4621.5</v>
      </c>
    </row>
    <row r="35" spans="1:53">
      <c r="A35" s="352" t="s">
        <v>28</v>
      </c>
      <c r="B35" s="547" t="s">
        <v>298</v>
      </c>
      <c r="C35" s="354"/>
      <c r="D35" s="352">
        <v>251260</v>
      </c>
      <c r="E35" s="548">
        <v>9</v>
      </c>
      <c r="F35" s="296" t="s">
        <v>52</v>
      </c>
      <c r="G35" s="297" t="s">
        <v>52</v>
      </c>
      <c r="H35" s="298"/>
      <c r="I35" s="299"/>
      <c r="J35" s="298">
        <v>54409</v>
      </c>
      <c r="K35" s="299">
        <v>52183</v>
      </c>
      <c r="L35" s="298">
        <v>25831</v>
      </c>
      <c r="M35" s="299">
        <v>25024</v>
      </c>
      <c r="N35" s="298">
        <v>53258</v>
      </c>
      <c r="O35" s="299">
        <v>56156</v>
      </c>
      <c r="P35" s="601">
        <f t="shared" si="15"/>
        <v>133498</v>
      </c>
      <c r="Q35" s="602">
        <f t="shared" si="16"/>
        <v>4449.9333333333334</v>
      </c>
      <c r="R35" s="603">
        <f t="shared" si="17"/>
        <v>133363</v>
      </c>
      <c r="S35" s="604">
        <f t="shared" si="18"/>
        <v>4445.4333333333334</v>
      </c>
      <c r="T35" s="298">
        <v>12</v>
      </c>
      <c r="U35" s="299">
        <v>179</v>
      </c>
      <c r="V35" s="601">
        <f t="shared" si="19"/>
        <v>133498</v>
      </c>
      <c r="W35" s="605">
        <f t="shared" si="20"/>
        <v>133363</v>
      </c>
      <c r="X35" s="305"/>
      <c r="Y35" s="299"/>
      <c r="Z35" s="298"/>
      <c r="AA35" s="299"/>
      <c r="AB35" s="298"/>
      <c r="AC35" s="299"/>
      <c r="AD35" s="298"/>
      <c r="AE35" s="299"/>
      <c r="AF35" s="601">
        <f t="shared" si="21"/>
        <v>0</v>
      </c>
      <c r="AG35" s="602">
        <f t="shared" si="22"/>
        <v>0</v>
      </c>
      <c r="AH35" s="603">
        <f t="shared" si="23"/>
        <v>0</v>
      </c>
      <c r="AI35" s="603">
        <f t="shared" si="24"/>
        <v>0</v>
      </c>
      <c r="AJ35" s="298"/>
      <c r="AK35" s="299"/>
      <c r="AL35" s="601">
        <f t="shared" si="25"/>
        <v>0</v>
      </c>
      <c r="AM35" s="604">
        <f t="shared" si="26"/>
        <v>0</v>
      </c>
      <c r="AN35" s="306"/>
      <c r="AO35" s="307"/>
      <c r="AP35" s="298"/>
      <c r="AQ35" s="307"/>
      <c r="AR35" s="298"/>
      <c r="AS35" s="307"/>
      <c r="AT35" s="298"/>
      <c r="AU35" s="307"/>
      <c r="AV35" s="601">
        <f t="shared" si="27"/>
        <v>0</v>
      </c>
      <c r="AW35" s="609">
        <f t="shared" si="28"/>
        <v>0</v>
      </c>
      <c r="AX35" s="603">
        <f t="shared" si="29"/>
        <v>0</v>
      </c>
      <c r="AY35" s="610">
        <f t="shared" si="30"/>
        <v>0</v>
      </c>
      <c r="AZ35" s="611">
        <f t="shared" si="31"/>
        <v>4449.9333333333334</v>
      </c>
      <c r="BA35" s="603">
        <f t="shared" si="32"/>
        <v>4445.4333333333334</v>
      </c>
    </row>
    <row r="36" spans="1:53">
      <c r="A36" s="352" t="s">
        <v>28</v>
      </c>
      <c r="B36" s="353" t="s">
        <v>300</v>
      </c>
      <c r="C36" s="423"/>
      <c r="D36" s="352">
        <v>101949</v>
      </c>
      <c r="E36" s="352">
        <v>10</v>
      </c>
      <c r="F36" s="296" t="s">
        <v>52</v>
      </c>
      <c r="G36" s="297" t="s">
        <v>52</v>
      </c>
      <c r="H36" s="298"/>
      <c r="I36" s="299"/>
      <c r="J36" s="298">
        <v>15953</v>
      </c>
      <c r="K36" s="299">
        <v>16644</v>
      </c>
      <c r="L36" s="298">
        <v>7436</v>
      </c>
      <c r="M36" s="299">
        <v>7840</v>
      </c>
      <c r="N36" s="298">
        <v>17087</v>
      </c>
      <c r="O36" s="299">
        <v>16224</v>
      </c>
      <c r="P36" s="601">
        <f t="shared" si="15"/>
        <v>40476</v>
      </c>
      <c r="Q36" s="602">
        <f t="shared" si="16"/>
        <v>1349.2</v>
      </c>
      <c r="R36" s="603">
        <f t="shared" si="17"/>
        <v>40708</v>
      </c>
      <c r="S36" s="604">
        <f t="shared" si="18"/>
        <v>1356.9333333333334</v>
      </c>
      <c r="T36" s="298">
        <v>814</v>
      </c>
      <c r="U36" s="299">
        <v>838</v>
      </c>
      <c r="V36" s="601">
        <f t="shared" si="19"/>
        <v>40476</v>
      </c>
      <c r="W36" s="605">
        <f t="shared" si="20"/>
        <v>40708</v>
      </c>
      <c r="X36" s="305"/>
      <c r="Y36" s="299"/>
      <c r="Z36" s="298"/>
      <c r="AA36" s="299"/>
      <c r="AB36" s="298"/>
      <c r="AC36" s="299"/>
      <c r="AD36" s="298"/>
      <c r="AE36" s="299"/>
      <c r="AF36" s="601">
        <f t="shared" si="21"/>
        <v>0</v>
      </c>
      <c r="AG36" s="602">
        <f t="shared" si="22"/>
        <v>0</v>
      </c>
      <c r="AH36" s="603">
        <f t="shared" si="23"/>
        <v>0</v>
      </c>
      <c r="AI36" s="603">
        <f t="shared" si="24"/>
        <v>0</v>
      </c>
      <c r="AJ36" s="298"/>
      <c r="AK36" s="299"/>
      <c r="AL36" s="601">
        <f t="shared" si="25"/>
        <v>0</v>
      </c>
      <c r="AM36" s="604">
        <f t="shared" si="26"/>
        <v>0</v>
      </c>
      <c r="AN36" s="306"/>
      <c r="AO36" s="307"/>
      <c r="AP36" s="298"/>
      <c r="AQ36" s="307"/>
      <c r="AR36" s="298"/>
      <c r="AS36" s="307"/>
      <c r="AT36" s="298"/>
      <c r="AU36" s="307"/>
      <c r="AV36" s="601">
        <f t="shared" si="27"/>
        <v>0</v>
      </c>
      <c r="AW36" s="609">
        <f t="shared" si="28"/>
        <v>0</v>
      </c>
      <c r="AX36" s="603">
        <f t="shared" si="29"/>
        <v>0</v>
      </c>
      <c r="AY36" s="610">
        <f t="shared" si="30"/>
        <v>0</v>
      </c>
      <c r="AZ36" s="611">
        <f t="shared" si="31"/>
        <v>1349.2</v>
      </c>
      <c r="BA36" s="603">
        <f t="shared" si="32"/>
        <v>1356.9333333333334</v>
      </c>
    </row>
    <row r="37" spans="1:53">
      <c r="A37" s="352" t="s">
        <v>28</v>
      </c>
      <c r="B37" s="547" t="s">
        <v>302</v>
      </c>
      <c r="C37" s="423"/>
      <c r="D37" s="352">
        <v>101028</v>
      </c>
      <c r="E37" s="548">
        <v>10</v>
      </c>
      <c r="F37" s="296" t="s">
        <v>52</v>
      </c>
      <c r="G37" s="297" t="s">
        <v>52</v>
      </c>
      <c r="H37" s="298"/>
      <c r="I37" s="299"/>
      <c r="J37" s="298">
        <v>17953</v>
      </c>
      <c r="K37" s="299">
        <v>17390</v>
      </c>
      <c r="L37" s="298">
        <v>7761</v>
      </c>
      <c r="M37" s="299">
        <v>7473</v>
      </c>
      <c r="N37" s="298">
        <v>17480</v>
      </c>
      <c r="O37" s="299">
        <v>17305</v>
      </c>
      <c r="P37" s="601">
        <f t="shared" si="15"/>
        <v>43194</v>
      </c>
      <c r="Q37" s="602">
        <f t="shared" si="16"/>
        <v>1439.8</v>
      </c>
      <c r="R37" s="603">
        <f t="shared" si="17"/>
        <v>42168</v>
      </c>
      <c r="S37" s="604">
        <f t="shared" si="18"/>
        <v>1405.6</v>
      </c>
      <c r="T37" s="298">
        <v>1078</v>
      </c>
      <c r="U37" s="299">
        <v>1103</v>
      </c>
      <c r="V37" s="601">
        <f t="shared" si="19"/>
        <v>43194</v>
      </c>
      <c r="W37" s="605">
        <f t="shared" si="20"/>
        <v>42168</v>
      </c>
      <c r="X37" s="305"/>
      <c r="Y37" s="299"/>
      <c r="Z37" s="298"/>
      <c r="AA37" s="299"/>
      <c r="AB37" s="298"/>
      <c r="AC37" s="299"/>
      <c r="AD37" s="298"/>
      <c r="AE37" s="299"/>
      <c r="AF37" s="601">
        <f t="shared" si="21"/>
        <v>0</v>
      </c>
      <c r="AG37" s="602">
        <f t="shared" si="22"/>
        <v>0</v>
      </c>
      <c r="AH37" s="603">
        <f t="shared" si="23"/>
        <v>0</v>
      </c>
      <c r="AI37" s="603">
        <f t="shared" si="24"/>
        <v>0</v>
      </c>
      <c r="AJ37" s="298"/>
      <c r="AK37" s="299"/>
      <c r="AL37" s="601">
        <f t="shared" si="25"/>
        <v>0</v>
      </c>
      <c r="AM37" s="604">
        <f t="shared" si="26"/>
        <v>0</v>
      </c>
      <c r="AN37" s="306"/>
      <c r="AO37" s="307"/>
      <c r="AP37" s="298"/>
      <c r="AQ37" s="307"/>
      <c r="AR37" s="298"/>
      <c r="AS37" s="307"/>
      <c r="AT37" s="298"/>
      <c r="AU37" s="307"/>
      <c r="AV37" s="601">
        <f t="shared" si="27"/>
        <v>0</v>
      </c>
      <c r="AW37" s="609">
        <f t="shared" si="28"/>
        <v>0</v>
      </c>
      <c r="AX37" s="603">
        <f t="shared" si="29"/>
        <v>0</v>
      </c>
      <c r="AY37" s="610">
        <f t="shared" si="30"/>
        <v>0</v>
      </c>
      <c r="AZ37" s="611">
        <f t="shared" si="31"/>
        <v>1439.8</v>
      </c>
      <c r="BA37" s="603">
        <f t="shared" si="32"/>
        <v>1405.6</v>
      </c>
    </row>
    <row r="38" spans="1:53">
      <c r="A38" s="352" t="s">
        <v>28</v>
      </c>
      <c r="B38" s="353" t="s">
        <v>304</v>
      </c>
      <c r="C38" s="354" t="s">
        <v>455</v>
      </c>
      <c r="D38" s="352">
        <v>101301</v>
      </c>
      <c r="E38" s="352">
        <v>10</v>
      </c>
      <c r="F38" s="296" t="s">
        <v>52</v>
      </c>
      <c r="G38" s="297" t="s">
        <v>52</v>
      </c>
      <c r="H38" s="298"/>
      <c r="I38" s="299"/>
      <c r="J38" s="298">
        <v>21205</v>
      </c>
      <c r="K38" s="299">
        <v>20969</v>
      </c>
      <c r="L38" s="298">
        <v>15885</v>
      </c>
      <c r="M38" s="299">
        <v>17749</v>
      </c>
      <c r="N38" s="298">
        <v>22777</v>
      </c>
      <c r="O38" s="299">
        <v>22129</v>
      </c>
      <c r="P38" s="601">
        <f t="shared" si="15"/>
        <v>59867</v>
      </c>
      <c r="Q38" s="602">
        <f t="shared" si="16"/>
        <v>1995.5666666666666</v>
      </c>
      <c r="R38" s="603">
        <f t="shared" si="17"/>
        <v>60847</v>
      </c>
      <c r="S38" s="604">
        <f t="shared" si="18"/>
        <v>2028.2333333333333</v>
      </c>
      <c r="T38" s="298">
        <v>2119</v>
      </c>
      <c r="U38" s="299">
        <v>3352</v>
      </c>
      <c r="V38" s="601">
        <f t="shared" si="19"/>
        <v>59867</v>
      </c>
      <c r="W38" s="605">
        <f t="shared" si="20"/>
        <v>60847</v>
      </c>
      <c r="X38" s="305"/>
      <c r="Y38" s="299"/>
      <c r="Z38" s="298"/>
      <c r="AA38" s="299"/>
      <c r="AB38" s="298"/>
      <c r="AC38" s="299"/>
      <c r="AD38" s="298"/>
      <c r="AE38" s="299"/>
      <c r="AF38" s="601">
        <f t="shared" si="21"/>
        <v>0</v>
      </c>
      <c r="AG38" s="602">
        <f t="shared" si="22"/>
        <v>0</v>
      </c>
      <c r="AH38" s="603">
        <f t="shared" si="23"/>
        <v>0</v>
      </c>
      <c r="AI38" s="603">
        <f t="shared" si="24"/>
        <v>0</v>
      </c>
      <c r="AJ38" s="298"/>
      <c r="AK38" s="299"/>
      <c r="AL38" s="601">
        <f t="shared" si="25"/>
        <v>0</v>
      </c>
      <c r="AM38" s="604">
        <f t="shared" si="26"/>
        <v>0</v>
      </c>
      <c r="AN38" s="306"/>
      <c r="AO38" s="307"/>
      <c r="AP38" s="298"/>
      <c r="AQ38" s="307"/>
      <c r="AR38" s="298"/>
      <c r="AS38" s="307"/>
      <c r="AT38" s="298"/>
      <c r="AU38" s="307"/>
      <c r="AV38" s="601">
        <f t="shared" si="27"/>
        <v>0</v>
      </c>
      <c r="AW38" s="609">
        <f t="shared" si="28"/>
        <v>0</v>
      </c>
      <c r="AX38" s="603">
        <f t="shared" si="29"/>
        <v>0</v>
      </c>
      <c r="AY38" s="610">
        <f t="shared" si="30"/>
        <v>0</v>
      </c>
      <c r="AZ38" s="611">
        <f t="shared" si="31"/>
        <v>1995.5666666666666</v>
      </c>
      <c r="BA38" s="603">
        <f t="shared" si="32"/>
        <v>2028.2333333333333</v>
      </c>
    </row>
    <row r="39" spans="1:53">
      <c r="A39" s="352" t="s">
        <v>28</v>
      </c>
      <c r="B39" s="353" t="s">
        <v>305</v>
      </c>
      <c r="C39" s="354"/>
      <c r="D39" s="352">
        <v>101499</v>
      </c>
      <c r="E39" s="352">
        <v>10</v>
      </c>
      <c r="F39" s="296" t="s">
        <v>52</v>
      </c>
      <c r="G39" s="297" t="s">
        <v>52</v>
      </c>
      <c r="H39" s="298"/>
      <c r="I39" s="299"/>
      <c r="J39" s="298">
        <v>14715</v>
      </c>
      <c r="K39" s="299">
        <v>13054</v>
      </c>
      <c r="L39" s="298">
        <v>7053</v>
      </c>
      <c r="M39" s="299">
        <v>6189</v>
      </c>
      <c r="N39" s="298">
        <v>13556</v>
      </c>
      <c r="O39" s="299">
        <v>13058</v>
      </c>
      <c r="P39" s="601">
        <f t="shared" si="15"/>
        <v>35324</v>
      </c>
      <c r="Q39" s="602">
        <f t="shared" si="16"/>
        <v>1177.4666666666667</v>
      </c>
      <c r="R39" s="603">
        <f t="shared" si="17"/>
        <v>32301</v>
      </c>
      <c r="S39" s="604">
        <f t="shared" si="18"/>
        <v>1076.7</v>
      </c>
      <c r="T39" s="298">
        <v>643</v>
      </c>
      <c r="U39" s="299">
        <v>335</v>
      </c>
      <c r="V39" s="601">
        <f t="shared" si="19"/>
        <v>35324</v>
      </c>
      <c r="W39" s="605">
        <f t="shared" si="20"/>
        <v>32301</v>
      </c>
      <c r="X39" s="305"/>
      <c r="Y39" s="299"/>
      <c r="Z39" s="298"/>
      <c r="AA39" s="299"/>
      <c r="AB39" s="298"/>
      <c r="AC39" s="299"/>
      <c r="AD39" s="298"/>
      <c r="AE39" s="299"/>
      <c r="AF39" s="601">
        <f t="shared" si="21"/>
        <v>0</v>
      </c>
      <c r="AG39" s="602">
        <f t="shared" si="22"/>
        <v>0</v>
      </c>
      <c r="AH39" s="603">
        <f t="shared" si="23"/>
        <v>0</v>
      </c>
      <c r="AI39" s="603">
        <f t="shared" si="24"/>
        <v>0</v>
      </c>
      <c r="AJ39" s="298"/>
      <c r="AK39" s="299"/>
      <c r="AL39" s="601">
        <f t="shared" si="25"/>
        <v>0</v>
      </c>
      <c r="AM39" s="604">
        <f t="shared" si="26"/>
        <v>0</v>
      </c>
      <c r="AN39" s="306"/>
      <c r="AO39" s="307"/>
      <c r="AP39" s="298"/>
      <c r="AQ39" s="307"/>
      <c r="AR39" s="298"/>
      <c r="AS39" s="307"/>
      <c r="AT39" s="298"/>
      <c r="AU39" s="307"/>
      <c r="AV39" s="601">
        <f t="shared" si="27"/>
        <v>0</v>
      </c>
      <c r="AW39" s="609">
        <f t="shared" si="28"/>
        <v>0</v>
      </c>
      <c r="AX39" s="603">
        <f t="shared" si="29"/>
        <v>0</v>
      </c>
      <c r="AY39" s="610">
        <f t="shared" si="30"/>
        <v>0</v>
      </c>
      <c r="AZ39" s="611">
        <f t="shared" si="31"/>
        <v>1177.4666666666667</v>
      </c>
      <c r="BA39" s="603">
        <f t="shared" si="32"/>
        <v>1076.7</v>
      </c>
    </row>
    <row r="40" spans="1:53">
      <c r="A40" s="352" t="s">
        <v>28</v>
      </c>
      <c r="B40" s="353" t="s">
        <v>306</v>
      </c>
      <c r="C40" s="354"/>
      <c r="D40" s="352">
        <v>101602</v>
      </c>
      <c r="E40" s="352">
        <v>10</v>
      </c>
      <c r="F40" s="296" t="s">
        <v>52</v>
      </c>
      <c r="G40" s="297" t="s">
        <v>52</v>
      </c>
      <c r="H40" s="298"/>
      <c r="I40" s="299"/>
      <c r="J40" s="298">
        <v>18785</v>
      </c>
      <c r="K40" s="299">
        <v>18987</v>
      </c>
      <c r="L40" s="298">
        <v>11176</v>
      </c>
      <c r="M40" s="299">
        <v>9795</v>
      </c>
      <c r="N40" s="298">
        <v>20634</v>
      </c>
      <c r="O40" s="299">
        <v>18627</v>
      </c>
      <c r="P40" s="601">
        <f t="shared" si="15"/>
        <v>50595</v>
      </c>
      <c r="Q40" s="602">
        <f t="shared" si="16"/>
        <v>1686.5</v>
      </c>
      <c r="R40" s="603">
        <f t="shared" si="17"/>
        <v>47409</v>
      </c>
      <c r="S40" s="604">
        <f t="shared" si="18"/>
        <v>1580.3</v>
      </c>
      <c r="T40" s="298">
        <v>1623</v>
      </c>
      <c r="U40" s="299">
        <v>1806</v>
      </c>
      <c r="V40" s="601">
        <f t="shared" si="19"/>
        <v>50595</v>
      </c>
      <c r="W40" s="605">
        <f t="shared" si="20"/>
        <v>47409</v>
      </c>
      <c r="X40" s="305"/>
      <c r="Y40" s="299"/>
      <c r="Z40" s="298"/>
      <c r="AA40" s="299"/>
      <c r="AB40" s="298"/>
      <c r="AC40" s="299"/>
      <c r="AD40" s="298"/>
      <c r="AE40" s="299"/>
      <c r="AF40" s="601">
        <f t="shared" si="21"/>
        <v>0</v>
      </c>
      <c r="AG40" s="602">
        <f t="shared" si="22"/>
        <v>0</v>
      </c>
      <c r="AH40" s="603">
        <f t="shared" si="23"/>
        <v>0</v>
      </c>
      <c r="AI40" s="603">
        <f t="shared" si="24"/>
        <v>0</v>
      </c>
      <c r="AJ40" s="298"/>
      <c r="AK40" s="299"/>
      <c r="AL40" s="601">
        <f t="shared" si="25"/>
        <v>0</v>
      </c>
      <c r="AM40" s="604">
        <f t="shared" si="26"/>
        <v>0</v>
      </c>
      <c r="AN40" s="306"/>
      <c r="AO40" s="307"/>
      <c r="AP40" s="298"/>
      <c r="AQ40" s="307"/>
      <c r="AR40" s="298"/>
      <c r="AS40" s="307"/>
      <c r="AT40" s="298"/>
      <c r="AU40" s="307"/>
      <c r="AV40" s="601">
        <f t="shared" si="27"/>
        <v>0</v>
      </c>
      <c r="AW40" s="609">
        <f t="shared" si="28"/>
        <v>0</v>
      </c>
      <c r="AX40" s="603">
        <f t="shared" si="29"/>
        <v>0</v>
      </c>
      <c r="AY40" s="610">
        <f t="shared" si="30"/>
        <v>0</v>
      </c>
      <c r="AZ40" s="611">
        <f t="shared" si="31"/>
        <v>1686.5</v>
      </c>
      <c r="BA40" s="603">
        <f t="shared" si="32"/>
        <v>1580.3</v>
      </c>
    </row>
    <row r="41" spans="1:53">
      <c r="A41" s="352" t="s">
        <v>28</v>
      </c>
      <c r="B41" s="361" t="s">
        <v>307</v>
      </c>
      <c r="C41" s="354"/>
      <c r="D41" s="352">
        <v>102076</v>
      </c>
      <c r="E41" s="352">
        <v>10</v>
      </c>
      <c r="F41" s="296" t="s">
        <v>52</v>
      </c>
      <c r="G41" s="297" t="s">
        <v>52</v>
      </c>
      <c r="H41" s="298"/>
      <c r="I41" s="299"/>
      <c r="J41" s="298">
        <v>25669</v>
      </c>
      <c r="K41" s="299">
        <v>24519</v>
      </c>
      <c r="L41" s="298">
        <v>11078</v>
      </c>
      <c r="M41" s="299">
        <v>9191</v>
      </c>
      <c r="N41" s="298">
        <v>26557</v>
      </c>
      <c r="O41" s="299">
        <v>26027</v>
      </c>
      <c r="P41" s="601">
        <f t="shared" si="15"/>
        <v>63304</v>
      </c>
      <c r="Q41" s="602">
        <f t="shared" si="16"/>
        <v>2110.1333333333332</v>
      </c>
      <c r="R41" s="603">
        <f t="shared" si="17"/>
        <v>59737</v>
      </c>
      <c r="S41" s="604">
        <f t="shared" si="18"/>
        <v>1991.2333333333333</v>
      </c>
      <c r="T41" s="298">
        <v>2113</v>
      </c>
      <c r="U41" s="299">
        <v>1619</v>
      </c>
      <c r="V41" s="601">
        <f t="shared" si="19"/>
        <v>63304</v>
      </c>
      <c r="W41" s="605">
        <f t="shared" si="20"/>
        <v>59737</v>
      </c>
      <c r="X41" s="305"/>
      <c r="Y41" s="299"/>
      <c r="Z41" s="298"/>
      <c r="AA41" s="299"/>
      <c r="AB41" s="298"/>
      <c r="AC41" s="299"/>
      <c r="AD41" s="298"/>
      <c r="AE41" s="299"/>
      <c r="AF41" s="601">
        <f t="shared" si="21"/>
        <v>0</v>
      </c>
      <c r="AG41" s="602">
        <f t="shared" si="22"/>
        <v>0</v>
      </c>
      <c r="AH41" s="603">
        <f t="shared" si="23"/>
        <v>0</v>
      </c>
      <c r="AI41" s="603">
        <f t="shared" si="24"/>
        <v>0</v>
      </c>
      <c r="AJ41" s="298"/>
      <c r="AK41" s="299"/>
      <c r="AL41" s="601">
        <f t="shared" si="25"/>
        <v>0</v>
      </c>
      <c r="AM41" s="604">
        <f t="shared" si="26"/>
        <v>0</v>
      </c>
      <c r="AN41" s="306"/>
      <c r="AO41" s="307"/>
      <c r="AP41" s="298"/>
      <c r="AQ41" s="307"/>
      <c r="AR41" s="298"/>
      <c r="AS41" s="307"/>
      <c r="AT41" s="298"/>
      <c r="AU41" s="307"/>
      <c r="AV41" s="601">
        <f t="shared" si="27"/>
        <v>0</v>
      </c>
      <c r="AW41" s="609">
        <f t="shared" si="28"/>
        <v>0</v>
      </c>
      <c r="AX41" s="603">
        <f t="shared" si="29"/>
        <v>0</v>
      </c>
      <c r="AY41" s="610">
        <f t="shared" si="30"/>
        <v>0</v>
      </c>
      <c r="AZ41" s="611">
        <f t="shared" si="31"/>
        <v>2110.1333333333332</v>
      </c>
      <c r="BA41" s="603">
        <f t="shared" si="32"/>
        <v>1991.2333333333333</v>
      </c>
    </row>
    <row r="42" spans="1:53">
      <c r="A42" s="352" t="s">
        <v>28</v>
      </c>
      <c r="B42" s="353" t="s">
        <v>308</v>
      </c>
      <c r="C42" s="354"/>
      <c r="D42" s="352">
        <v>102313</v>
      </c>
      <c r="E42" s="352">
        <v>12</v>
      </c>
      <c r="F42" s="296" t="s">
        <v>52</v>
      </c>
      <c r="G42" s="297" t="s">
        <v>52</v>
      </c>
      <c r="H42" s="298"/>
      <c r="I42" s="299"/>
      <c r="J42" s="298">
        <v>18387</v>
      </c>
      <c r="K42" s="299">
        <v>18967</v>
      </c>
      <c r="L42" s="298">
        <v>12912</v>
      </c>
      <c r="M42" s="299">
        <v>12725</v>
      </c>
      <c r="N42" s="298">
        <v>18418</v>
      </c>
      <c r="O42" s="299">
        <v>17810</v>
      </c>
      <c r="P42" s="601">
        <f t="shared" si="15"/>
        <v>49717</v>
      </c>
      <c r="Q42" s="602">
        <f t="shared" si="16"/>
        <v>1657.2333333333333</v>
      </c>
      <c r="R42" s="603">
        <f t="shared" si="17"/>
        <v>49502</v>
      </c>
      <c r="S42" s="604">
        <f t="shared" si="18"/>
        <v>1650.0666666666666</v>
      </c>
      <c r="T42" s="298">
        <v>39</v>
      </c>
      <c r="U42" s="299">
        <v>93</v>
      </c>
      <c r="V42" s="601">
        <f t="shared" si="19"/>
        <v>49717</v>
      </c>
      <c r="W42" s="605">
        <f t="shared" si="20"/>
        <v>49502</v>
      </c>
      <c r="X42" s="305"/>
      <c r="Y42" s="299"/>
      <c r="Z42" s="298"/>
      <c r="AA42" s="299"/>
      <c r="AB42" s="298"/>
      <c r="AC42" s="299"/>
      <c r="AD42" s="298"/>
      <c r="AE42" s="299"/>
      <c r="AF42" s="601">
        <f t="shared" si="21"/>
        <v>0</v>
      </c>
      <c r="AG42" s="602">
        <f t="shared" si="22"/>
        <v>0</v>
      </c>
      <c r="AH42" s="603">
        <f t="shared" si="23"/>
        <v>0</v>
      </c>
      <c r="AI42" s="603">
        <f t="shared" si="24"/>
        <v>0</v>
      </c>
      <c r="AJ42" s="298"/>
      <c r="AK42" s="299"/>
      <c r="AL42" s="601">
        <f t="shared" si="25"/>
        <v>0</v>
      </c>
      <c r="AM42" s="604">
        <f t="shared" si="26"/>
        <v>0</v>
      </c>
      <c r="AN42" s="306"/>
      <c r="AO42" s="307"/>
      <c r="AP42" s="298"/>
      <c r="AQ42" s="307"/>
      <c r="AR42" s="298"/>
      <c r="AS42" s="307"/>
      <c r="AT42" s="298"/>
      <c r="AU42" s="307"/>
      <c r="AV42" s="601">
        <f t="shared" si="27"/>
        <v>0</v>
      </c>
      <c r="AW42" s="609">
        <f t="shared" si="28"/>
        <v>0</v>
      </c>
      <c r="AX42" s="603">
        <f t="shared" si="29"/>
        <v>0</v>
      </c>
      <c r="AY42" s="610">
        <f t="shared" si="30"/>
        <v>0</v>
      </c>
      <c r="AZ42" s="611">
        <f t="shared" si="31"/>
        <v>1657.2333333333333</v>
      </c>
      <c r="BA42" s="603">
        <f t="shared" si="32"/>
        <v>1650.0666666666666</v>
      </c>
    </row>
    <row r="43" spans="1:53">
      <c r="A43" s="352" t="s">
        <v>28</v>
      </c>
      <c r="B43" s="361" t="s">
        <v>309</v>
      </c>
      <c r="C43" s="354" t="s">
        <v>456</v>
      </c>
      <c r="D43" s="352">
        <v>101462</v>
      </c>
      <c r="E43" s="352">
        <v>13</v>
      </c>
      <c r="F43" s="296" t="s">
        <v>52</v>
      </c>
      <c r="G43" s="297" t="s">
        <v>52</v>
      </c>
      <c r="H43" s="298"/>
      <c r="I43" s="299"/>
      <c r="J43" s="298">
        <v>13300</v>
      </c>
      <c r="K43" s="299">
        <v>12358</v>
      </c>
      <c r="L43" s="298">
        <v>7383</v>
      </c>
      <c r="M43" s="299">
        <v>7822</v>
      </c>
      <c r="N43" s="298">
        <v>14659</v>
      </c>
      <c r="O43" s="299">
        <v>11966</v>
      </c>
      <c r="P43" s="601">
        <f t="shared" si="15"/>
        <v>35342</v>
      </c>
      <c r="Q43" s="602">
        <f t="shared" si="16"/>
        <v>1178.0666666666666</v>
      </c>
      <c r="R43" s="603">
        <f t="shared" si="17"/>
        <v>32146</v>
      </c>
      <c r="S43" s="604">
        <f t="shared" si="18"/>
        <v>1071.5333333333333</v>
      </c>
      <c r="T43" s="298">
        <v>333</v>
      </c>
      <c r="U43" s="299">
        <v>494</v>
      </c>
      <c r="V43" s="601">
        <f t="shared" si="19"/>
        <v>35342</v>
      </c>
      <c r="W43" s="605">
        <f t="shared" si="20"/>
        <v>32146</v>
      </c>
      <c r="X43" s="305"/>
      <c r="Y43" s="299"/>
      <c r="Z43" s="298"/>
      <c r="AA43" s="299"/>
      <c r="AB43" s="298"/>
      <c r="AC43" s="299"/>
      <c r="AD43" s="298"/>
      <c r="AE43" s="299"/>
      <c r="AF43" s="601">
        <f t="shared" si="21"/>
        <v>0</v>
      </c>
      <c r="AG43" s="602">
        <f t="shared" si="22"/>
        <v>0</v>
      </c>
      <c r="AH43" s="603">
        <f t="shared" si="23"/>
        <v>0</v>
      </c>
      <c r="AI43" s="603">
        <f t="shared" si="24"/>
        <v>0</v>
      </c>
      <c r="AJ43" s="298"/>
      <c r="AK43" s="299"/>
      <c r="AL43" s="601">
        <f t="shared" si="25"/>
        <v>0</v>
      </c>
      <c r="AM43" s="604">
        <f t="shared" si="26"/>
        <v>0</v>
      </c>
      <c r="AN43" s="306"/>
      <c r="AO43" s="307"/>
      <c r="AP43" s="298"/>
      <c r="AQ43" s="307"/>
      <c r="AR43" s="298"/>
      <c r="AS43" s="307"/>
      <c r="AT43" s="298"/>
      <c r="AU43" s="307"/>
      <c r="AV43" s="601">
        <f t="shared" si="27"/>
        <v>0</v>
      </c>
      <c r="AW43" s="609">
        <f t="shared" si="28"/>
        <v>0</v>
      </c>
      <c r="AX43" s="603">
        <f t="shared" si="29"/>
        <v>0</v>
      </c>
      <c r="AY43" s="610">
        <f t="shared" si="30"/>
        <v>0</v>
      </c>
      <c r="AZ43" s="611">
        <f t="shared" si="31"/>
        <v>1178.0666666666666</v>
      </c>
      <c r="BA43" s="603">
        <f t="shared" si="32"/>
        <v>1071.5333333333333</v>
      </c>
    </row>
    <row r="44" spans="1:53">
      <c r="A44" s="352" t="s">
        <v>28</v>
      </c>
      <c r="B44" s="353" t="s">
        <v>310</v>
      </c>
      <c r="C44" s="354"/>
      <c r="D44" s="352">
        <v>101471</v>
      </c>
      <c r="E44" s="352">
        <v>13</v>
      </c>
      <c r="F44" s="296" t="s">
        <v>52</v>
      </c>
      <c r="G44" s="297" t="s">
        <v>52</v>
      </c>
      <c r="H44" s="298"/>
      <c r="I44" s="299"/>
      <c r="J44" s="298">
        <v>7288</v>
      </c>
      <c r="K44" s="299">
        <v>6793</v>
      </c>
      <c r="L44" s="298">
        <v>6443</v>
      </c>
      <c r="M44" s="299">
        <v>6510</v>
      </c>
      <c r="N44" s="298">
        <v>7441</v>
      </c>
      <c r="O44" s="299">
        <v>6833</v>
      </c>
      <c r="P44" s="601">
        <f t="shared" si="15"/>
        <v>21172</v>
      </c>
      <c r="Q44" s="602">
        <f t="shared" si="16"/>
        <v>705.73333333333335</v>
      </c>
      <c r="R44" s="603">
        <f t="shared" si="17"/>
        <v>20136</v>
      </c>
      <c r="S44" s="604">
        <f t="shared" si="18"/>
        <v>671.2</v>
      </c>
      <c r="T44" s="298">
        <v>0</v>
      </c>
      <c r="U44" s="299">
        <v>0</v>
      </c>
      <c r="V44" s="601">
        <f t="shared" si="19"/>
        <v>21172</v>
      </c>
      <c r="W44" s="605">
        <f t="shared" si="20"/>
        <v>20136</v>
      </c>
      <c r="X44" s="305"/>
      <c r="Y44" s="299"/>
      <c r="Z44" s="298"/>
      <c r="AA44" s="299"/>
      <c r="AB44" s="298"/>
      <c r="AC44" s="299"/>
      <c r="AD44" s="298"/>
      <c r="AE44" s="299"/>
      <c r="AF44" s="601">
        <f t="shared" si="21"/>
        <v>0</v>
      </c>
      <c r="AG44" s="602">
        <f t="shared" si="22"/>
        <v>0</v>
      </c>
      <c r="AH44" s="603">
        <f t="shared" si="23"/>
        <v>0</v>
      </c>
      <c r="AI44" s="603">
        <f t="shared" si="24"/>
        <v>0</v>
      </c>
      <c r="AJ44" s="298"/>
      <c r="AK44" s="299"/>
      <c r="AL44" s="601">
        <f t="shared" si="25"/>
        <v>0</v>
      </c>
      <c r="AM44" s="604">
        <f t="shared" si="26"/>
        <v>0</v>
      </c>
      <c r="AN44" s="306"/>
      <c r="AO44" s="307"/>
      <c r="AP44" s="298"/>
      <c r="AQ44" s="307"/>
      <c r="AR44" s="298"/>
      <c r="AS44" s="307"/>
      <c r="AT44" s="298"/>
      <c r="AU44" s="307"/>
      <c r="AV44" s="601">
        <f t="shared" si="27"/>
        <v>0</v>
      </c>
      <c r="AW44" s="609">
        <f t="shared" si="28"/>
        <v>0</v>
      </c>
      <c r="AX44" s="603">
        <f t="shared" si="29"/>
        <v>0</v>
      </c>
      <c r="AY44" s="610">
        <f t="shared" si="30"/>
        <v>0</v>
      </c>
      <c r="AZ44" s="611">
        <f t="shared" si="31"/>
        <v>705.73333333333335</v>
      </c>
      <c r="BA44" s="603">
        <f t="shared" si="32"/>
        <v>671.2</v>
      </c>
    </row>
    <row r="45" spans="1:53">
      <c r="A45" s="352" t="s">
        <v>28</v>
      </c>
      <c r="B45" s="353" t="s">
        <v>311</v>
      </c>
      <c r="C45" s="354"/>
      <c r="D45" s="352">
        <v>101994</v>
      </c>
      <c r="E45" s="352">
        <v>13</v>
      </c>
      <c r="F45" s="296" t="s">
        <v>52</v>
      </c>
      <c r="G45" s="297" t="s">
        <v>52</v>
      </c>
      <c r="H45" s="298"/>
      <c r="I45" s="299"/>
      <c r="J45" s="298">
        <v>8904</v>
      </c>
      <c r="K45" s="299">
        <v>8016</v>
      </c>
      <c r="L45" s="298">
        <v>5497</v>
      </c>
      <c r="M45" s="299">
        <v>5670</v>
      </c>
      <c r="N45" s="298">
        <v>8420</v>
      </c>
      <c r="O45" s="299">
        <v>8087</v>
      </c>
      <c r="P45" s="601">
        <f t="shared" si="15"/>
        <v>22821</v>
      </c>
      <c r="Q45" s="602">
        <f t="shared" si="16"/>
        <v>760.7</v>
      </c>
      <c r="R45" s="603">
        <f t="shared" si="17"/>
        <v>21773</v>
      </c>
      <c r="S45" s="604">
        <f t="shared" si="18"/>
        <v>725.76666666666665</v>
      </c>
      <c r="T45" s="298">
        <v>921</v>
      </c>
      <c r="U45" s="299">
        <v>1072</v>
      </c>
      <c r="V45" s="601">
        <f t="shared" si="19"/>
        <v>22821</v>
      </c>
      <c r="W45" s="605">
        <f t="shared" si="20"/>
        <v>21773</v>
      </c>
      <c r="X45" s="305"/>
      <c r="Y45" s="299"/>
      <c r="Z45" s="298"/>
      <c r="AA45" s="299"/>
      <c r="AB45" s="298"/>
      <c r="AC45" s="299"/>
      <c r="AD45" s="298"/>
      <c r="AE45" s="299"/>
      <c r="AF45" s="601">
        <f t="shared" si="21"/>
        <v>0</v>
      </c>
      <c r="AG45" s="602">
        <f t="shared" si="22"/>
        <v>0</v>
      </c>
      <c r="AH45" s="603">
        <f t="shared" si="23"/>
        <v>0</v>
      </c>
      <c r="AI45" s="603">
        <f t="shared" si="24"/>
        <v>0</v>
      </c>
      <c r="AJ45" s="298"/>
      <c r="AK45" s="299"/>
      <c r="AL45" s="601">
        <f t="shared" si="25"/>
        <v>0</v>
      </c>
      <c r="AM45" s="604">
        <f t="shared" si="26"/>
        <v>0</v>
      </c>
      <c r="AN45" s="306"/>
      <c r="AO45" s="307"/>
      <c r="AP45" s="298"/>
      <c r="AQ45" s="307"/>
      <c r="AR45" s="298"/>
      <c r="AS45" s="307"/>
      <c r="AT45" s="298"/>
      <c r="AU45" s="307"/>
      <c r="AV45" s="601">
        <f t="shared" si="27"/>
        <v>0</v>
      </c>
      <c r="AW45" s="609">
        <f t="shared" si="28"/>
        <v>0</v>
      </c>
      <c r="AX45" s="603">
        <f t="shared" si="29"/>
        <v>0</v>
      </c>
      <c r="AY45" s="610">
        <f t="shared" si="30"/>
        <v>0</v>
      </c>
      <c r="AZ45" s="611">
        <f t="shared" si="31"/>
        <v>760.7</v>
      </c>
      <c r="BA45" s="603">
        <f t="shared" si="32"/>
        <v>725.76666666666665</v>
      </c>
    </row>
    <row r="46" spans="1:53">
      <c r="A46" s="312" t="s">
        <v>168</v>
      </c>
      <c r="B46" s="311" t="s">
        <v>169</v>
      </c>
      <c r="C46" s="347"/>
      <c r="D46" s="312">
        <v>106397</v>
      </c>
      <c r="E46" s="312">
        <v>1</v>
      </c>
      <c r="F46" s="296" t="s">
        <v>52</v>
      </c>
      <c r="G46" s="297" t="s">
        <v>52</v>
      </c>
      <c r="H46" s="298"/>
      <c r="I46" s="299"/>
      <c r="J46" s="298">
        <v>200371</v>
      </c>
      <c r="K46" s="299">
        <v>223699</v>
      </c>
      <c r="L46" s="298">
        <v>37721</v>
      </c>
      <c r="M46" s="299">
        <v>40511</v>
      </c>
      <c r="N46" s="298">
        <v>235246</v>
      </c>
      <c r="O46" s="299">
        <v>261683</v>
      </c>
      <c r="P46" s="601">
        <f t="shared" si="15"/>
        <v>473338</v>
      </c>
      <c r="Q46" s="602">
        <f t="shared" si="16"/>
        <v>15777.933333333332</v>
      </c>
      <c r="R46" s="603">
        <f t="shared" si="17"/>
        <v>525893</v>
      </c>
      <c r="S46" s="604">
        <f t="shared" si="18"/>
        <v>17529.766666666666</v>
      </c>
      <c r="T46" s="298">
        <v>75</v>
      </c>
      <c r="U46" s="299">
        <v>98</v>
      </c>
      <c r="V46" s="601">
        <f t="shared" si="19"/>
        <v>473338</v>
      </c>
      <c r="W46" s="605">
        <f t="shared" si="20"/>
        <v>525893</v>
      </c>
      <c r="X46" s="305"/>
      <c r="Y46" s="299"/>
      <c r="Z46" s="298"/>
      <c r="AA46" s="299"/>
      <c r="AB46" s="298"/>
      <c r="AC46" s="299"/>
      <c r="AD46" s="298"/>
      <c r="AE46" s="299"/>
      <c r="AF46" s="601">
        <f t="shared" si="21"/>
        <v>0</v>
      </c>
      <c r="AG46" s="602">
        <f t="shared" si="22"/>
        <v>0</v>
      </c>
      <c r="AH46" s="603">
        <f t="shared" si="23"/>
        <v>0</v>
      </c>
      <c r="AI46" s="603">
        <f t="shared" si="24"/>
        <v>0</v>
      </c>
      <c r="AJ46" s="298"/>
      <c r="AK46" s="299"/>
      <c r="AL46" s="601">
        <f t="shared" si="25"/>
        <v>0</v>
      </c>
      <c r="AM46" s="604">
        <f t="shared" si="26"/>
        <v>0</v>
      </c>
      <c r="AN46" s="306"/>
      <c r="AO46" s="307"/>
      <c r="AP46" s="298">
        <v>31531</v>
      </c>
      <c r="AQ46" s="307">
        <v>33004</v>
      </c>
      <c r="AR46" s="298">
        <v>10979</v>
      </c>
      <c r="AS46" s="307">
        <v>11213</v>
      </c>
      <c r="AT46" s="298">
        <v>33077</v>
      </c>
      <c r="AU46" s="307">
        <v>32966</v>
      </c>
      <c r="AV46" s="601">
        <f t="shared" si="27"/>
        <v>75587</v>
      </c>
      <c r="AW46" s="609">
        <f t="shared" si="28"/>
        <v>3149.4583333333335</v>
      </c>
      <c r="AX46" s="603">
        <f t="shared" si="29"/>
        <v>77183</v>
      </c>
      <c r="AY46" s="610">
        <f t="shared" si="30"/>
        <v>3215.9583333333335</v>
      </c>
      <c r="AZ46" s="611">
        <f t="shared" si="31"/>
        <v>18927.391666666666</v>
      </c>
      <c r="BA46" s="603">
        <f t="shared" si="32"/>
        <v>20745.724999999999</v>
      </c>
    </row>
    <row r="47" spans="1:53">
      <c r="A47" s="312" t="s">
        <v>168</v>
      </c>
      <c r="B47" s="311" t="s">
        <v>170</v>
      </c>
      <c r="C47" s="347"/>
      <c r="D47" s="312">
        <v>106458</v>
      </c>
      <c r="E47" s="312">
        <v>3</v>
      </c>
      <c r="F47" s="296" t="s">
        <v>52</v>
      </c>
      <c r="G47" s="297" t="s">
        <v>52</v>
      </c>
      <c r="H47" s="298"/>
      <c r="I47" s="299"/>
      <c r="J47" s="298">
        <v>118835</v>
      </c>
      <c r="K47" s="299">
        <v>121311</v>
      </c>
      <c r="L47" s="298">
        <v>22808</v>
      </c>
      <c r="M47" s="299">
        <v>24842</v>
      </c>
      <c r="N47" s="298">
        <v>129616</v>
      </c>
      <c r="O47" s="299">
        <v>130144</v>
      </c>
      <c r="P47" s="601">
        <f t="shared" si="15"/>
        <v>271259</v>
      </c>
      <c r="Q47" s="602">
        <f t="shared" si="16"/>
        <v>9041.9666666666672</v>
      </c>
      <c r="R47" s="603">
        <f t="shared" si="17"/>
        <v>276297</v>
      </c>
      <c r="S47" s="604">
        <f t="shared" si="18"/>
        <v>9209.9</v>
      </c>
      <c r="T47" s="298">
        <v>4575</v>
      </c>
      <c r="U47" s="299">
        <v>3258</v>
      </c>
      <c r="V47" s="601">
        <f t="shared" si="19"/>
        <v>271259</v>
      </c>
      <c r="W47" s="605">
        <f t="shared" si="20"/>
        <v>276297</v>
      </c>
      <c r="X47" s="305"/>
      <c r="Y47" s="299"/>
      <c r="Z47" s="298"/>
      <c r="AA47" s="299"/>
      <c r="AB47" s="298"/>
      <c r="AC47" s="299"/>
      <c r="AD47" s="298"/>
      <c r="AE47" s="299"/>
      <c r="AF47" s="601">
        <f t="shared" si="21"/>
        <v>0</v>
      </c>
      <c r="AG47" s="602">
        <f t="shared" si="22"/>
        <v>0</v>
      </c>
      <c r="AH47" s="603">
        <f t="shared" si="23"/>
        <v>0</v>
      </c>
      <c r="AI47" s="603">
        <f t="shared" si="24"/>
        <v>0</v>
      </c>
      <c r="AJ47" s="298"/>
      <c r="AK47" s="299"/>
      <c r="AL47" s="601">
        <f t="shared" si="25"/>
        <v>0</v>
      </c>
      <c r="AM47" s="604">
        <f t="shared" si="26"/>
        <v>0</v>
      </c>
      <c r="AN47" s="306"/>
      <c r="AO47" s="307"/>
      <c r="AP47" s="298">
        <v>22812</v>
      </c>
      <c r="AQ47" s="307">
        <v>32427</v>
      </c>
      <c r="AR47" s="298">
        <v>16147</v>
      </c>
      <c r="AS47" s="307">
        <v>18831</v>
      </c>
      <c r="AT47" s="298">
        <v>30350</v>
      </c>
      <c r="AU47" s="307">
        <v>31621</v>
      </c>
      <c r="AV47" s="601">
        <f t="shared" si="27"/>
        <v>69309</v>
      </c>
      <c r="AW47" s="609">
        <f t="shared" si="28"/>
        <v>2887.875</v>
      </c>
      <c r="AX47" s="603">
        <f t="shared" si="29"/>
        <v>82879</v>
      </c>
      <c r="AY47" s="610">
        <f t="shared" si="30"/>
        <v>3453.2916666666665</v>
      </c>
      <c r="AZ47" s="611">
        <f t="shared" si="31"/>
        <v>11929.841666666667</v>
      </c>
      <c r="BA47" s="603">
        <f t="shared" si="32"/>
        <v>12663.191666666666</v>
      </c>
    </row>
    <row r="48" spans="1:53">
      <c r="A48" s="312" t="s">
        <v>168</v>
      </c>
      <c r="B48" s="311" t="s">
        <v>171</v>
      </c>
      <c r="C48" s="347"/>
      <c r="D48" s="312">
        <v>106245</v>
      </c>
      <c r="E48" s="312">
        <v>3</v>
      </c>
      <c r="F48" s="296" t="s">
        <v>52</v>
      </c>
      <c r="G48" s="297" t="s">
        <v>52</v>
      </c>
      <c r="H48" s="298"/>
      <c r="I48" s="299"/>
      <c r="J48" s="298">
        <v>98508</v>
      </c>
      <c r="K48" s="299">
        <v>103304</v>
      </c>
      <c r="L48" s="298">
        <v>24459</v>
      </c>
      <c r="M48" s="299">
        <v>23464</v>
      </c>
      <c r="N48" s="298">
        <v>109976</v>
      </c>
      <c r="O48" s="299">
        <v>110456</v>
      </c>
      <c r="P48" s="601">
        <f t="shared" si="15"/>
        <v>232943</v>
      </c>
      <c r="Q48" s="602">
        <f t="shared" si="16"/>
        <v>7764.7666666666664</v>
      </c>
      <c r="R48" s="603">
        <f t="shared" si="17"/>
        <v>237224</v>
      </c>
      <c r="S48" s="604">
        <f t="shared" si="18"/>
        <v>7907.4666666666662</v>
      </c>
      <c r="T48" s="298">
        <v>10313</v>
      </c>
      <c r="U48" s="299">
        <v>12666</v>
      </c>
      <c r="V48" s="601">
        <f t="shared" si="19"/>
        <v>232943</v>
      </c>
      <c r="W48" s="605">
        <f t="shared" si="20"/>
        <v>237224</v>
      </c>
      <c r="X48" s="305"/>
      <c r="Y48" s="299"/>
      <c r="Z48" s="298"/>
      <c r="AA48" s="299"/>
      <c r="AB48" s="298"/>
      <c r="AC48" s="299"/>
      <c r="AD48" s="298"/>
      <c r="AE48" s="299"/>
      <c r="AF48" s="601">
        <f t="shared" si="21"/>
        <v>0</v>
      </c>
      <c r="AG48" s="602">
        <f t="shared" si="22"/>
        <v>0</v>
      </c>
      <c r="AH48" s="603">
        <f t="shared" si="23"/>
        <v>0</v>
      </c>
      <c r="AI48" s="603">
        <f t="shared" si="24"/>
        <v>0</v>
      </c>
      <c r="AJ48" s="298"/>
      <c r="AK48" s="299"/>
      <c r="AL48" s="601">
        <f t="shared" si="25"/>
        <v>0</v>
      </c>
      <c r="AM48" s="604">
        <f t="shared" si="26"/>
        <v>0</v>
      </c>
      <c r="AN48" s="306"/>
      <c r="AO48" s="307"/>
      <c r="AP48" s="298">
        <v>21857</v>
      </c>
      <c r="AQ48" s="307">
        <v>21406</v>
      </c>
      <c r="AR48" s="298">
        <v>7337</v>
      </c>
      <c r="AS48" s="307">
        <v>7059</v>
      </c>
      <c r="AT48" s="298">
        <v>22295</v>
      </c>
      <c r="AU48" s="307">
        <v>21838</v>
      </c>
      <c r="AV48" s="601">
        <f t="shared" si="27"/>
        <v>51489</v>
      </c>
      <c r="AW48" s="609">
        <f t="shared" si="28"/>
        <v>2145.375</v>
      </c>
      <c r="AX48" s="603">
        <f t="shared" si="29"/>
        <v>50303</v>
      </c>
      <c r="AY48" s="610">
        <f t="shared" si="30"/>
        <v>2095.9583333333335</v>
      </c>
      <c r="AZ48" s="611">
        <f t="shared" si="31"/>
        <v>9910.1416666666664</v>
      </c>
      <c r="BA48" s="603">
        <f t="shared" si="32"/>
        <v>10003.424999999999</v>
      </c>
    </row>
    <row r="49" spans="1:53">
      <c r="A49" s="312" t="s">
        <v>168</v>
      </c>
      <c r="B49" s="311" t="s">
        <v>172</v>
      </c>
      <c r="C49" s="347"/>
      <c r="D49" s="312">
        <v>106704</v>
      </c>
      <c r="E49" s="312">
        <v>3</v>
      </c>
      <c r="F49" s="296" t="s">
        <v>52</v>
      </c>
      <c r="G49" s="297" t="s">
        <v>52</v>
      </c>
      <c r="H49" s="298"/>
      <c r="I49" s="299"/>
      <c r="J49" s="298">
        <v>122700</v>
      </c>
      <c r="K49" s="299">
        <v>120807</v>
      </c>
      <c r="L49" s="298">
        <v>20026</v>
      </c>
      <c r="M49" s="299">
        <v>20331</v>
      </c>
      <c r="N49" s="298">
        <v>131690</v>
      </c>
      <c r="O49" s="299">
        <v>130896</v>
      </c>
      <c r="P49" s="601">
        <f t="shared" si="15"/>
        <v>274416</v>
      </c>
      <c r="Q49" s="602">
        <f t="shared" si="16"/>
        <v>9147.2000000000007</v>
      </c>
      <c r="R49" s="603">
        <f t="shared" si="17"/>
        <v>272034</v>
      </c>
      <c r="S49" s="604">
        <f t="shared" si="18"/>
        <v>9067.7999999999993</v>
      </c>
      <c r="T49" s="298">
        <v>5012</v>
      </c>
      <c r="U49" s="299">
        <v>4001</v>
      </c>
      <c r="V49" s="601">
        <f t="shared" si="19"/>
        <v>274416</v>
      </c>
      <c r="W49" s="605">
        <f t="shared" si="20"/>
        <v>272034</v>
      </c>
      <c r="X49" s="305"/>
      <c r="Y49" s="299"/>
      <c r="Z49" s="298"/>
      <c r="AA49" s="299"/>
      <c r="AB49" s="298"/>
      <c r="AC49" s="299"/>
      <c r="AD49" s="298"/>
      <c r="AE49" s="299"/>
      <c r="AF49" s="601">
        <f t="shared" si="21"/>
        <v>0</v>
      </c>
      <c r="AG49" s="602">
        <f t="shared" si="22"/>
        <v>0</v>
      </c>
      <c r="AH49" s="603">
        <f t="shared" si="23"/>
        <v>0</v>
      </c>
      <c r="AI49" s="603">
        <f t="shared" si="24"/>
        <v>0</v>
      </c>
      <c r="AJ49" s="298"/>
      <c r="AK49" s="299"/>
      <c r="AL49" s="601">
        <f t="shared" si="25"/>
        <v>0</v>
      </c>
      <c r="AM49" s="604">
        <f t="shared" si="26"/>
        <v>0</v>
      </c>
      <c r="AN49" s="306"/>
      <c r="AO49" s="307"/>
      <c r="AP49" s="298">
        <v>12464</v>
      </c>
      <c r="AQ49" s="307">
        <v>12640</v>
      </c>
      <c r="AR49" s="298">
        <v>8180</v>
      </c>
      <c r="AS49" s="307">
        <v>8081</v>
      </c>
      <c r="AT49" s="298">
        <v>12355</v>
      </c>
      <c r="AU49" s="307">
        <v>12286</v>
      </c>
      <c r="AV49" s="601">
        <f t="shared" si="27"/>
        <v>32999</v>
      </c>
      <c r="AW49" s="609">
        <f t="shared" si="28"/>
        <v>1374.9583333333333</v>
      </c>
      <c r="AX49" s="603">
        <f t="shared" si="29"/>
        <v>33007</v>
      </c>
      <c r="AY49" s="610">
        <f t="shared" si="30"/>
        <v>1375.2916666666667</v>
      </c>
      <c r="AZ49" s="611">
        <f t="shared" si="31"/>
        <v>10522.158333333335</v>
      </c>
      <c r="BA49" s="603">
        <f t="shared" si="32"/>
        <v>10443.091666666665</v>
      </c>
    </row>
    <row r="50" spans="1:53">
      <c r="A50" s="312" t="s">
        <v>168</v>
      </c>
      <c r="B50" s="322" t="s">
        <v>173</v>
      </c>
      <c r="C50" s="347" t="s">
        <v>267</v>
      </c>
      <c r="D50" s="312">
        <v>106467</v>
      </c>
      <c r="E50" s="312">
        <v>4</v>
      </c>
      <c r="F50" s="296" t="s">
        <v>52</v>
      </c>
      <c r="G50" s="297" t="s">
        <v>52</v>
      </c>
      <c r="H50" s="298"/>
      <c r="I50" s="299"/>
      <c r="J50" s="298">
        <v>89852</v>
      </c>
      <c r="K50" s="299">
        <v>95411</v>
      </c>
      <c r="L50" s="298">
        <v>16377</v>
      </c>
      <c r="M50" s="299">
        <v>15748</v>
      </c>
      <c r="N50" s="298">
        <v>102455</v>
      </c>
      <c r="O50" s="299">
        <v>107045</v>
      </c>
      <c r="P50" s="601">
        <f t="shared" si="15"/>
        <v>208684</v>
      </c>
      <c r="Q50" s="602">
        <f t="shared" si="16"/>
        <v>6956.1333333333332</v>
      </c>
      <c r="R50" s="603">
        <f t="shared" si="17"/>
        <v>218204</v>
      </c>
      <c r="S50" s="604">
        <f t="shared" si="18"/>
        <v>7273.4666666666662</v>
      </c>
      <c r="T50" s="298">
        <v>5755</v>
      </c>
      <c r="U50" s="299">
        <v>6044</v>
      </c>
      <c r="V50" s="601">
        <f t="shared" si="19"/>
        <v>208684</v>
      </c>
      <c r="W50" s="605">
        <f t="shared" si="20"/>
        <v>218204</v>
      </c>
      <c r="X50" s="305"/>
      <c r="Y50" s="299"/>
      <c r="Z50" s="298"/>
      <c r="AA50" s="299"/>
      <c r="AB50" s="298"/>
      <c r="AC50" s="299"/>
      <c r="AD50" s="298"/>
      <c r="AE50" s="299"/>
      <c r="AF50" s="601">
        <f t="shared" si="21"/>
        <v>0</v>
      </c>
      <c r="AG50" s="602">
        <f t="shared" si="22"/>
        <v>0</v>
      </c>
      <c r="AH50" s="603">
        <f t="shared" si="23"/>
        <v>0</v>
      </c>
      <c r="AI50" s="603">
        <f t="shared" si="24"/>
        <v>0</v>
      </c>
      <c r="AJ50" s="298"/>
      <c r="AK50" s="299"/>
      <c r="AL50" s="601">
        <f t="shared" si="25"/>
        <v>0</v>
      </c>
      <c r="AM50" s="604">
        <f t="shared" si="26"/>
        <v>0</v>
      </c>
      <c r="AN50" s="306"/>
      <c r="AO50" s="307"/>
      <c r="AP50" s="298">
        <v>3768</v>
      </c>
      <c r="AQ50" s="307">
        <v>4287</v>
      </c>
      <c r="AR50" s="298">
        <v>3639</v>
      </c>
      <c r="AS50" s="307">
        <v>4221</v>
      </c>
      <c r="AT50" s="298">
        <v>4277</v>
      </c>
      <c r="AU50" s="307">
        <v>4800</v>
      </c>
      <c r="AV50" s="601">
        <f t="shared" si="27"/>
        <v>11684</v>
      </c>
      <c r="AW50" s="609">
        <f t="shared" si="28"/>
        <v>486.83333333333331</v>
      </c>
      <c r="AX50" s="603">
        <f t="shared" si="29"/>
        <v>13308</v>
      </c>
      <c r="AY50" s="610">
        <f t="shared" si="30"/>
        <v>554.5</v>
      </c>
      <c r="AZ50" s="611">
        <f t="shared" si="31"/>
        <v>7442.9666666666662</v>
      </c>
      <c r="BA50" s="603">
        <f t="shared" si="32"/>
        <v>7827.9666666666662</v>
      </c>
    </row>
    <row r="51" spans="1:53">
      <c r="A51" s="312" t="s">
        <v>168</v>
      </c>
      <c r="B51" s="311" t="s">
        <v>174</v>
      </c>
      <c r="C51" s="347"/>
      <c r="D51" s="312">
        <v>107071</v>
      </c>
      <c r="E51" s="312">
        <v>4</v>
      </c>
      <c r="F51" s="296" t="s">
        <v>52</v>
      </c>
      <c r="G51" s="297" t="s">
        <v>52</v>
      </c>
      <c r="H51" s="298"/>
      <c r="I51" s="299"/>
      <c r="J51" s="298">
        <v>39893</v>
      </c>
      <c r="K51" s="299">
        <v>43590</v>
      </c>
      <c r="L51" s="298">
        <v>6756</v>
      </c>
      <c r="M51" s="299">
        <v>7129</v>
      </c>
      <c r="N51" s="298">
        <v>46686</v>
      </c>
      <c r="O51" s="299">
        <v>47323</v>
      </c>
      <c r="P51" s="601">
        <f t="shared" si="15"/>
        <v>93335</v>
      </c>
      <c r="Q51" s="602">
        <f t="shared" si="16"/>
        <v>3111.1666666666665</v>
      </c>
      <c r="R51" s="603">
        <f t="shared" si="17"/>
        <v>98042</v>
      </c>
      <c r="S51" s="604">
        <f t="shared" si="18"/>
        <v>3268.0666666666666</v>
      </c>
      <c r="T51" s="298">
        <v>54</v>
      </c>
      <c r="U51" s="299">
        <v>30</v>
      </c>
      <c r="V51" s="601">
        <f t="shared" si="19"/>
        <v>93335</v>
      </c>
      <c r="W51" s="605">
        <f t="shared" si="20"/>
        <v>98042</v>
      </c>
      <c r="X51" s="305"/>
      <c r="Y51" s="299"/>
      <c r="Z51" s="298"/>
      <c r="AA51" s="299"/>
      <c r="AB51" s="298"/>
      <c r="AC51" s="299"/>
      <c r="AD51" s="298"/>
      <c r="AE51" s="299"/>
      <c r="AF51" s="601">
        <f t="shared" si="21"/>
        <v>0</v>
      </c>
      <c r="AG51" s="602">
        <f t="shared" si="22"/>
        <v>0</v>
      </c>
      <c r="AH51" s="603">
        <f t="shared" si="23"/>
        <v>0</v>
      </c>
      <c r="AI51" s="603">
        <f t="shared" si="24"/>
        <v>0</v>
      </c>
      <c r="AJ51" s="298"/>
      <c r="AK51" s="299"/>
      <c r="AL51" s="601">
        <f t="shared" si="25"/>
        <v>0</v>
      </c>
      <c r="AM51" s="604">
        <f t="shared" si="26"/>
        <v>0</v>
      </c>
      <c r="AN51" s="306"/>
      <c r="AO51" s="307"/>
      <c r="AP51" s="298">
        <v>2679</v>
      </c>
      <c r="AQ51" s="307">
        <v>2408</v>
      </c>
      <c r="AR51" s="298">
        <v>3650</v>
      </c>
      <c r="AS51" s="307">
        <v>3238</v>
      </c>
      <c r="AT51" s="298">
        <v>2319</v>
      </c>
      <c r="AU51" s="307">
        <v>2334</v>
      </c>
      <c r="AV51" s="601">
        <f t="shared" si="27"/>
        <v>8648</v>
      </c>
      <c r="AW51" s="609">
        <f t="shared" si="28"/>
        <v>360.33333333333331</v>
      </c>
      <c r="AX51" s="603">
        <f t="shared" si="29"/>
        <v>7980</v>
      </c>
      <c r="AY51" s="610">
        <f t="shared" si="30"/>
        <v>332.5</v>
      </c>
      <c r="AZ51" s="611">
        <f t="shared" si="31"/>
        <v>3471.5</v>
      </c>
      <c r="BA51" s="603">
        <f t="shared" si="32"/>
        <v>3600.5666666666666</v>
      </c>
    </row>
    <row r="52" spans="1:53">
      <c r="A52" s="312" t="s">
        <v>168</v>
      </c>
      <c r="B52" s="322" t="s">
        <v>175</v>
      </c>
      <c r="C52" s="350" t="s">
        <v>268</v>
      </c>
      <c r="D52" s="312">
        <v>107983</v>
      </c>
      <c r="E52" s="351">
        <v>4</v>
      </c>
      <c r="F52" s="296" t="s">
        <v>52</v>
      </c>
      <c r="G52" s="297" t="s">
        <v>52</v>
      </c>
      <c r="H52" s="298"/>
      <c r="I52" s="299"/>
      <c r="J52" s="298">
        <v>35388</v>
      </c>
      <c r="K52" s="299">
        <v>37068</v>
      </c>
      <c r="L52" s="298">
        <v>5800</v>
      </c>
      <c r="M52" s="299">
        <v>5367</v>
      </c>
      <c r="N52" s="298">
        <v>40758</v>
      </c>
      <c r="O52" s="299">
        <v>41110</v>
      </c>
      <c r="P52" s="601">
        <f t="shared" si="15"/>
        <v>81946</v>
      </c>
      <c r="Q52" s="602">
        <f t="shared" si="16"/>
        <v>2731.5333333333333</v>
      </c>
      <c r="R52" s="603">
        <f t="shared" si="17"/>
        <v>83545</v>
      </c>
      <c r="S52" s="604">
        <f t="shared" si="18"/>
        <v>2784.8333333333335</v>
      </c>
      <c r="T52" s="298">
        <v>576</v>
      </c>
      <c r="U52" s="299">
        <v>694</v>
      </c>
      <c r="V52" s="601">
        <f t="shared" si="19"/>
        <v>81946</v>
      </c>
      <c r="W52" s="605">
        <f t="shared" si="20"/>
        <v>83545</v>
      </c>
      <c r="X52" s="305"/>
      <c r="Y52" s="299"/>
      <c r="Z52" s="298"/>
      <c r="AA52" s="299"/>
      <c r="AB52" s="298"/>
      <c r="AC52" s="299"/>
      <c r="AD52" s="298"/>
      <c r="AE52" s="299"/>
      <c r="AF52" s="601">
        <f t="shared" si="21"/>
        <v>0</v>
      </c>
      <c r="AG52" s="602">
        <f t="shared" si="22"/>
        <v>0</v>
      </c>
      <c r="AH52" s="603">
        <f t="shared" si="23"/>
        <v>0</v>
      </c>
      <c r="AI52" s="603">
        <f t="shared" si="24"/>
        <v>0</v>
      </c>
      <c r="AJ52" s="298"/>
      <c r="AK52" s="299"/>
      <c r="AL52" s="601">
        <f t="shared" si="25"/>
        <v>0</v>
      </c>
      <c r="AM52" s="604">
        <f t="shared" si="26"/>
        <v>0</v>
      </c>
      <c r="AN52" s="306"/>
      <c r="AO52" s="307"/>
      <c r="AP52" s="298">
        <v>2739</v>
      </c>
      <c r="AQ52" s="307">
        <v>2813</v>
      </c>
      <c r="AR52" s="298">
        <v>2774</v>
      </c>
      <c r="AS52" s="307">
        <v>2013</v>
      </c>
      <c r="AT52" s="298">
        <v>2525</v>
      </c>
      <c r="AU52" s="307">
        <v>2722</v>
      </c>
      <c r="AV52" s="601">
        <f t="shared" si="27"/>
        <v>8038</v>
      </c>
      <c r="AW52" s="609">
        <f t="shared" si="28"/>
        <v>334.91666666666669</v>
      </c>
      <c r="AX52" s="603">
        <f t="shared" si="29"/>
        <v>7548</v>
      </c>
      <c r="AY52" s="610">
        <f t="shared" si="30"/>
        <v>314.5</v>
      </c>
      <c r="AZ52" s="611">
        <f t="shared" si="31"/>
        <v>3066.45</v>
      </c>
      <c r="BA52" s="603">
        <f t="shared" si="32"/>
        <v>3099.3333333333335</v>
      </c>
    </row>
    <row r="53" spans="1:53">
      <c r="A53" s="312" t="s">
        <v>168</v>
      </c>
      <c r="B53" s="311" t="s">
        <v>176</v>
      </c>
      <c r="C53" s="347"/>
      <c r="D53" s="312">
        <v>106485</v>
      </c>
      <c r="E53" s="312">
        <v>5</v>
      </c>
      <c r="F53" s="296" t="s">
        <v>52</v>
      </c>
      <c r="G53" s="297" t="s">
        <v>52</v>
      </c>
      <c r="H53" s="298"/>
      <c r="I53" s="299"/>
      <c r="J53" s="298">
        <v>30800</v>
      </c>
      <c r="K53" s="299">
        <v>30307</v>
      </c>
      <c r="L53" s="298">
        <v>6544</v>
      </c>
      <c r="M53" s="299">
        <v>6430</v>
      </c>
      <c r="N53" s="298">
        <v>33249</v>
      </c>
      <c r="O53" s="299">
        <v>35265</v>
      </c>
      <c r="P53" s="601">
        <f t="shared" si="15"/>
        <v>70593</v>
      </c>
      <c r="Q53" s="602">
        <f t="shared" si="16"/>
        <v>2353.1</v>
      </c>
      <c r="R53" s="603">
        <f t="shared" si="17"/>
        <v>72002</v>
      </c>
      <c r="S53" s="604">
        <f t="shared" si="18"/>
        <v>2400.0666666666666</v>
      </c>
      <c r="T53" s="298">
        <v>3269</v>
      </c>
      <c r="U53" s="299">
        <v>3921</v>
      </c>
      <c r="V53" s="601">
        <f t="shared" si="19"/>
        <v>70593</v>
      </c>
      <c r="W53" s="605">
        <f t="shared" si="20"/>
        <v>72002</v>
      </c>
      <c r="X53" s="305"/>
      <c r="Y53" s="299"/>
      <c r="Z53" s="298"/>
      <c r="AA53" s="299"/>
      <c r="AB53" s="298"/>
      <c r="AC53" s="299"/>
      <c r="AD53" s="298"/>
      <c r="AE53" s="299"/>
      <c r="AF53" s="601">
        <f t="shared" si="21"/>
        <v>0</v>
      </c>
      <c r="AG53" s="602">
        <f t="shared" si="22"/>
        <v>0</v>
      </c>
      <c r="AH53" s="603">
        <f t="shared" si="23"/>
        <v>0</v>
      </c>
      <c r="AI53" s="603">
        <f t="shared" si="24"/>
        <v>0</v>
      </c>
      <c r="AJ53" s="298"/>
      <c r="AK53" s="299"/>
      <c r="AL53" s="601">
        <f t="shared" si="25"/>
        <v>0</v>
      </c>
      <c r="AM53" s="604">
        <f t="shared" si="26"/>
        <v>0</v>
      </c>
      <c r="AN53" s="306"/>
      <c r="AO53" s="307"/>
      <c r="AP53" s="298">
        <v>787</v>
      </c>
      <c r="AQ53" s="307">
        <v>805</v>
      </c>
      <c r="AR53" s="298">
        <v>951</v>
      </c>
      <c r="AS53" s="307">
        <v>616</v>
      </c>
      <c r="AT53" s="298">
        <v>853</v>
      </c>
      <c r="AU53" s="307">
        <v>658</v>
      </c>
      <c r="AV53" s="601">
        <f t="shared" si="27"/>
        <v>2591</v>
      </c>
      <c r="AW53" s="609">
        <f t="shared" si="28"/>
        <v>107.95833333333333</v>
      </c>
      <c r="AX53" s="603">
        <f t="shared" si="29"/>
        <v>2079</v>
      </c>
      <c r="AY53" s="610">
        <f t="shared" si="30"/>
        <v>86.625</v>
      </c>
      <c r="AZ53" s="611">
        <f t="shared" si="31"/>
        <v>2461.0583333333334</v>
      </c>
      <c r="BA53" s="603">
        <f t="shared" si="32"/>
        <v>2486.6916666666666</v>
      </c>
    </row>
    <row r="54" spans="1:53">
      <c r="A54" s="312" t="s">
        <v>168</v>
      </c>
      <c r="B54" s="311" t="s">
        <v>32</v>
      </c>
      <c r="C54" s="347"/>
      <c r="D54" s="312">
        <v>108092</v>
      </c>
      <c r="E54" s="312">
        <v>6</v>
      </c>
      <c r="F54" s="296" t="s">
        <v>52</v>
      </c>
      <c r="G54" s="297" t="s">
        <v>52</v>
      </c>
      <c r="H54" s="298"/>
      <c r="I54" s="299"/>
      <c r="J54" s="298">
        <v>79705</v>
      </c>
      <c r="K54" s="299">
        <v>84836</v>
      </c>
      <c r="L54" s="298">
        <v>18344</v>
      </c>
      <c r="M54" s="299">
        <v>16516</v>
      </c>
      <c r="N54" s="298">
        <v>90733</v>
      </c>
      <c r="O54" s="299">
        <v>90560</v>
      </c>
      <c r="P54" s="601">
        <f t="shared" si="15"/>
        <v>188782</v>
      </c>
      <c r="Q54" s="602">
        <f t="shared" si="16"/>
        <v>6292.7333333333336</v>
      </c>
      <c r="R54" s="603">
        <f t="shared" si="17"/>
        <v>191912</v>
      </c>
      <c r="S54" s="604">
        <f t="shared" si="18"/>
        <v>6397.0666666666666</v>
      </c>
      <c r="T54" s="298">
        <v>8102</v>
      </c>
      <c r="U54" s="299">
        <v>8565</v>
      </c>
      <c r="V54" s="601">
        <f t="shared" si="19"/>
        <v>188782</v>
      </c>
      <c r="W54" s="605">
        <f t="shared" si="20"/>
        <v>191912</v>
      </c>
      <c r="X54" s="305"/>
      <c r="Y54" s="299"/>
      <c r="Z54" s="298"/>
      <c r="AA54" s="299"/>
      <c r="AB54" s="298"/>
      <c r="AC54" s="299"/>
      <c r="AD54" s="298"/>
      <c r="AE54" s="299"/>
      <c r="AF54" s="601">
        <f t="shared" si="21"/>
        <v>0</v>
      </c>
      <c r="AG54" s="602">
        <f t="shared" si="22"/>
        <v>0</v>
      </c>
      <c r="AH54" s="603">
        <f t="shared" si="23"/>
        <v>0</v>
      </c>
      <c r="AI54" s="603">
        <f t="shared" si="24"/>
        <v>0</v>
      </c>
      <c r="AJ54" s="298"/>
      <c r="AK54" s="299"/>
      <c r="AL54" s="601">
        <f t="shared" si="25"/>
        <v>0</v>
      </c>
      <c r="AM54" s="604">
        <f t="shared" si="26"/>
        <v>0</v>
      </c>
      <c r="AN54" s="306"/>
      <c r="AO54" s="307"/>
      <c r="AP54" s="298"/>
      <c r="AQ54" s="307">
        <v>0</v>
      </c>
      <c r="AR54" s="298"/>
      <c r="AS54" s="307">
        <v>0</v>
      </c>
      <c r="AT54" s="298"/>
      <c r="AU54" s="307">
        <v>0</v>
      </c>
      <c r="AV54" s="601">
        <f t="shared" si="27"/>
        <v>0</v>
      </c>
      <c r="AW54" s="609">
        <f t="shared" si="28"/>
        <v>0</v>
      </c>
      <c r="AX54" s="603">
        <f t="shared" si="29"/>
        <v>0</v>
      </c>
      <c r="AY54" s="610">
        <f t="shared" si="30"/>
        <v>0</v>
      </c>
      <c r="AZ54" s="611">
        <f t="shared" si="31"/>
        <v>6292.7333333333336</v>
      </c>
      <c r="BA54" s="603">
        <f t="shared" si="32"/>
        <v>6397.0666666666666</v>
      </c>
    </row>
    <row r="55" spans="1:53">
      <c r="A55" s="312" t="s">
        <v>168</v>
      </c>
      <c r="B55" s="322" t="s">
        <v>177</v>
      </c>
      <c r="C55" s="347"/>
      <c r="D55" s="312">
        <v>106412</v>
      </c>
      <c r="E55" s="312">
        <v>6</v>
      </c>
      <c r="F55" s="296" t="s">
        <v>52</v>
      </c>
      <c r="G55" s="297" t="s">
        <v>52</v>
      </c>
      <c r="H55" s="298"/>
      <c r="I55" s="299"/>
      <c r="J55" s="298">
        <v>44399</v>
      </c>
      <c r="K55" s="299">
        <v>39816</v>
      </c>
      <c r="L55" s="298">
        <v>5639</v>
      </c>
      <c r="M55" s="299">
        <v>6408</v>
      </c>
      <c r="N55" s="298">
        <v>45432</v>
      </c>
      <c r="O55" s="299">
        <v>42531</v>
      </c>
      <c r="P55" s="601">
        <f t="shared" si="15"/>
        <v>95470</v>
      </c>
      <c r="Q55" s="602">
        <f t="shared" si="16"/>
        <v>3182.3333333333335</v>
      </c>
      <c r="R55" s="603">
        <f t="shared" si="17"/>
        <v>88755</v>
      </c>
      <c r="S55" s="604">
        <f t="shared" si="18"/>
        <v>2958.5</v>
      </c>
      <c r="T55" s="298">
        <v>3</v>
      </c>
      <c r="U55" s="299">
        <v>9</v>
      </c>
      <c r="V55" s="601">
        <f t="shared" si="19"/>
        <v>95470</v>
      </c>
      <c r="W55" s="605">
        <f t="shared" si="20"/>
        <v>88755</v>
      </c>
      <c r="X55" s="305"/>
      <c r="Y55" s="299"/>
      <c r="Z55" s="298"/>
      <c r="AA55" s="299"/>
      <c r="AB55" s="298"/>
      <c r="AC55" s="299"/>
      <c r="AD55" s="298"/>
      <c r="AE55" s="299"/>
      <c r="AF55" s="601">
        <f t="shared" si="21"/>
        <v>0</v>
      </c>
      <c r="AG55" s="602">
        <f t="shared" si="22"/>
        <v>0</v>
      </c>
      <c r="AH55" s="603">
        <f t="shared" si="23"/>
        <v>0</v>
      </c>
      <c r="AI55" s="603">
        <f t="shared" si="24"/>
        <v>0</v>
      </c>
      <c r="AJ55" s="298"/>
      <c r="AK55" s="299"/>
      <c r="AL55" s="601">
        <f t="shared" si="25"/>
        <v>0</v>
      </c>
      <c r="AM55" s="604">
        <f t="shared" si="26"/>
        <v>0</v>
      </c>
      <c r="AN55" s="306"/>
      <c r="AO55" s="307"/>
      <c r="AP55" s="298">
        <v>961</v>
      </c>
      <c r="AQ55" s="307">
        <v>821</v>
      </c>
      <c r="AR55" s="298">
        <v>312</v>
      </c>
      <c r="AS55" s="307">
        <v>296</v>
      </c>
      <c r="AT55" s="298">
        <v>859</v>
      </c>
      <c r="AU55" s="307">
        <v>768</v>
      </c>
      <c r="AV55" s="601">
        <f t="shared" si="27"/>
        <v>2132</v>
      </c>
      <c r="AW55" s="609">
        <f t="shared" si="28"/>
        <v>88.833333333333329</v>
      </c>
      <c r="AX55" s="603">
        <f t="shared" si="29"/>
        <v>1885</v>
      </c>
      <c r="AY55" s="610">
        <f t="shared" si="30"/>
        <v>78.541666666666671</v>
      </c>
      <c r="AZ55" s="611">
        <f t="shared" si="31"/>
        <v>3271.166666666667</v>
      </c>
      <c r="BA55" s="603">
        <f t="shared" si="32"/>
        <v>3037.0416666666665</v>
      </c>
    </row>
    <row r="56" spans="1:53">
      <c r="A56" s="312" t="s">
        <v>168</v>
      </c>
      <c r="B56" s="322" t="s">
        <v>180</v>
      </c>
      <c r="C56" s="350" t="s">
        <v>269</v>
      </c>
      <c r="D56" s="312">
        <v>367459</v>
      </c>
      <c r="E56" s="351">
        <v>8</v>
      </c>
      <c r="F56" s="296" t="s">
        <v>52</v>
      </c>
      <c r="G56" s="297" t="s">
        <v>52</v>
      </c>
      <c r="H56" s="298"/>
      <c r="I56" s="299"/>
      <c r="J56" s="298">
        <v>73933</v>
      </c>
      <c r="K56" s="299">
        <v>75886</v>
      </c>
      <c r="L56" s="298">
        <v>18190</v>
      </c>
      <c r="M56" s="299">
        <v>18386</v>
      </c>
      <c r="N56" s="298">
        <v>78964</v>
      </c>
      <c r="O56" s="299">
        <v>79801</v>
      </c>
      <c r="P56" s="601">
        <f t="shared" si="15"/>
        <v>171087</v>
      </c>
      <c r="Q56" s="602">
        <f t="shared" si="16"/>
        <v>5702.9</v>
      </c>
      <c r="R56" s="603">
        <f t="shared" si="17"/>
        <v>174073</v>
      </c>
      <c r="S56" s="604">
        <f t="shared" si="18"/>
        <v>5802.4333333333334</v>
      </c>
      <c r="T56" s="298">
        <v>5933</v>
      </c>
      <c r="U56" s="299">
        <v>5733</v>
      </c>
      <c r="V56" s="601">
        <f t="shared" si="19"/>
        <v>171087</v>
      </c>
      <c r="W56" s="605">
        <f t="shared" si="20"/>
        <v>174073</v>
      </c>
      <c r="X56" s="305"/>
      <c r="Y56" s="299"/>
      <c r="Z56" s="298"/>
      <c r="AA56" s="299"/>
      <c r="AB56" s="298"/>
      <c r="AC56" s="299"/>
      <c r="AD56" s="298"/>
      <c r="AE56" s="299"/>
      <c r="AF56" s="601">
        <f t="shared" si="21"/>
        <v>0</v>
      </c>
      <c r="AG56" s="602">
        <f t="shared" si="22"/>
        <v>0</v>
      </c>
      <c r="AH56" s="603">
        <f t="shared" si="23"/>
        <v>0</v>
      </c>
      <c r="AI56" s="603">
        <f t="shared" si="24"/>
        <v>0</v>
      </c>
      <c r="AJ56" s="298"/>
      <c r="AK56" s="299"/>
      <c r="AL56" s="601">
        <f t="shared" si="25"/>
        <v>0</v>
      </c>
      <c r="AM56" s="604">
        <f t="shared" si="26"/>
        <v>0</v>
      </c>
      <c r="AN56" s="306"/>
      <c r="AO56" s="307"/>
      <c r="AP56" s="298"/>
      <c r="AQ56" s="307"/>
      <c r="AR56" s="298"/>
      <c r="AS56" s="307"/>
      <c r="AT56" s="298"/>
      <c r="AU56" s="307"/>
      <c r="AV56" s="601">
        <f t="shared" si="27"/>
        <v>0</v>
      </c>
      <c r="AW56" s="609">
        <f t="shared" si="28"/>
        <v>0</v>
      </c>
      <c r="AX56" s="603">
        <f t="shared" si="29"/>
        <v>0</v>
      </c>
      <c r="AY56" s="610">
        <f t="shared" si="30"/>
        <v>0</v>
      </c>
      <c r="AZ56" s="611">
        <f t="shared" si="31"/>
        <v>5702.9</v>
      </c>
      <c r="BA56" s="603">
        <f t="shared" si="32"/>
        <v>5802.4333333333334</v>
      </c>
    </row>
    <row r="57" spans="1:53">
      <c r="A57" s="312" t="s">
        <v>168</v>
      </c>
      <c r="B57" s="311" t="s">
        <v>178</v>
      </c>
      <c r="C57" s="347"/>
      <c r="D57" s="312">
        <v>107664</v>
      </c>
      <c r="E57" s="313">
        <v>8</v>
      </c>
      <c r="F57" s="296" t="s">
        <v>52</v>
      </c>
      <c r="G57" s="297" t="s">
        <v>52</v>
      </c>
      <c r="H57" s="298"/>
      <c r="I57" s="299"/>
      <c r="J57" s="298">
        <v>110579</v>
      </c>
      <c r="K57" s="299">
        <v>114525</v>
      </c>
      <c r="L57" s="298">
        <v>23839</v>
      </c>
      <c r="M57" s="299">
        <v>27409</v>
      </c>
      <c r="N57" s="298">
        <v>111678</v>
      </c>
      <c r="O57" s="299">
        <v>119737</v>
      </c>
      <c r="P57" s="601">
        <f t="shared" si="15"/>
        <v>246096</v>
      </c>
      <c r="Q57" s="602">
        <f t="shared" si="16"/>
        <v>8203.2000000000007</v>
      </c>
      <c r="R57" s="603">
        <f t="shared" si="17"/>
        <v>261671</v>
      </c>
      <c r="S57" s="604">
        <f t="shared" si="18"/>
        <v>8722.3666666666668</v>
      </c>
      <c r="T57" s="298">
        <v>3357</v>
      </c>
      <c r="U57" s="299">
        <v>3065</v>
      </c>
      <c r="V57" s="601">
        <f t="shared" si="19"/>
        <v>246096</v>
      </c>
      <c r="W57" s="605">
        <f t="shared" si="20"/>
        <v>261671</v>
      </c>
      <c r="X57" s="305"/>
      <c r="Y57" s="299"/>
      <c r="Z57" s="298"/>
      <c r="AA57" s="299"/>
      <c r="AB57" s="298"/>
      <c r="AC57" s="299"/>
      <c r="AD57" s="298"/>
      <c r="AE57" s="299"/>
      <c r="AF57" s="601">
        <f t="shared" si="21"/>
        <v>0</v>
      </c>
      <c r="AG57" s="602">
        <f t="shared" si="22"/>
        <v>0</v>
      </c>
      <c r="AH57" s="603">
        <f t="shared" si="23"/>
        <v>0</v>
      </c>
      <c r="AI57" s="603">
        <f t="shared" si="24"/>
        <v>0</v>
      </c>
      <c r="AJ57" s="298"/>
      <c r="AK57" s="299"/>
      <c r="AL57" s="601">
        <f t="shared" si="25"/>
        <v>0</v>
      </c>
      <c r="AM57" s="604">
        <f t="shared" si="26"/>
        <v>0</v>
      </c>
      <c r="AN57" s="306"/>
      <c r="AO57" s="307"/>
      <c r="AP57" s="298"/>
      <c r="AQ57" s="307"/>
      <c r="AR57" s="298"/>
      <c r="AS57" s="307"/>
      <c r="AT57" s="298"/>
      <c r="AU57" s="307"/>
      <c r="AV57" s="601">
        <f t="shared" si="27"/>
        <v>0</v>
      </c>
      <c r="AW57" s="609">
        <f t="shared" si="28"/>
        <v>0</v>
      </c>
      <c r="AX57" s="603">
        <f t="shared" si="29"/>
        <v>0</v>
      </c>
      <c r="AY57" s="610">
        <f t="shared" si="30"/>
        <v>0</v>
      </c>
      <c r="AZ57" s="611">
        <f t="shared" si="31"/>
        <v>8203.2000000000007</v>
      </c>
      <c r="BA57" s="603">
        <f t="shared" si="32"/>
        <v>8722.3666666666668</v>
      </c>
    </row>
    <row r="58" spans="1:53">
      <c r="A58" s="312" t="s">
        <v>168</v>
      </c>
      <c r="B58" s="311" t="s">
        <v>179</v>
      </c>
      <c r="C58" s="347"/>
      <c r="D58" s="312">
        <v>106449</v>
      </c>
      <c r="E58" s="312">
        <v>9</v>
      </c>
      <c r="F58" s="296" t="s">
        <v>52</v>
      </c>
      <c r="G58" s="297" t="s">
        <v>52</v>
      </c>
      <c r="H58" s="298"/>
      <c r="I58" s="299"/>
      <c r="J58" s="298">
        <v>46524</v>
      </c>
      <c r="K58" s="299">
        <v>47248</v>
      </c>
      <c r="L58" s="298">
        <v>10140</v>
      </c>
      <c r="M58" s="299">
        <v>10143</v>
      </c>
      <c r="N58" s="298">
        <v>49556</v>
      </c>
      <c r="O58" s="299">
        <v>48848</v>
      </c>
      <c r="P58" s="601">
        <f t="shared" si="15"/>
        <v>106220</v>
      </c>
      <c r="Q58" s="602">
        <f t="shared" si="16"/>
        <v>3540.6666666666665</v>
      </c>
      <c r="R58" s="603">
        <f t="shared" si="17"/>
        <v>106239</v>
      </c>
      <c r="S58" s="604">
        <f t="shared" si="18"/>
        <v>3541.3</v>
      </c>
      <c r="T58" s="298">
        <v>6439</v>
      </c>
      <c r="U58" s="299">
        <v>6943</v>
      </c>
      <c r="V58" s="601">
        <f t="shared" si="19"/>
        <v>106220</v>
      </c>
      <c r="W58" s="605">
        <f t="shared" si="20"/>
        <v>106239</v>
      </c>
      <c r="X58" s="305"/>
      <c r="Y58" s="299"/>
      <c r="Z58" s="298"/>
      <c r="AA58" s="299"/>
      <c r="AB58" s="298"/>
      <c r="AC58" s="299"/>
      <c r="AD58" s="298"/>
      <c r="AE58" s="299"/>
      <c r="AF58" s="601">
        <f t="shared" si="21"/>
        <v>0</v>
      </c>
      <c r="AG58" s="602">
        <f t="shared" si="22"/>
        <v>0</v>
      </c>
      <c r="AH58" s="603">
        <f t="shared" si="23"/>
        <v>0</v>
      </c>
      <c r="AI58" s="603">
        <f t="shared" si="24"/>
        <v>0</v>
      </c>
      <c r="AJ58" s="298"/>
      <c r="AK58" s="299"/>
      <c r="AL58" s="601">
        <f t="shared" si="25"/>
        <v>0</v>
      </c>
      <c r="AM58" s="604">
        <f t="shared" si="26"/>
        <v>0</v>
      </c>
      <c r="AN58" s="306"/>
      <c r="AO58" s="307"/>
      <c r="AP58" s="298"/>
      <c r="AQ58" s="307"/>
      <c r="AR58" s="298"/>
      <c r="AS58" s="307"/>
      <c r="AT58" s="298"/>
      <c r="AU58" s="307"/>
      <c r="AV58" s="601">
        <f t="shared" si="27"/>
        <v>0</v>
      </c>
      <c r="AW58" s="609">
        <f t="shared" si="28"/>
        <v>0</v>
      </c>
      <c r="AX58" s="603">
        <f t="shared" si="29"/>
        <v>0</v>
      </c>
      <c r="AY58" s="610">
        <f t="shared" si="30"/>
        <v>0</v>
      </c>
      <c r="AZ58" s="611">
        <f t="shared" si="31"/>
        <v>3540.6666666666665</v>
      </c>
      <c r="BA58" s="603">
        <f t="shared" si="32"/>
        <v>3541.3</v>
      </c>
    </row>
    <row r="59" spans="1:53">
      <c r="A59" s="312" t="s">
        <v>168</v>
      </c>
      <c r="B59" s="348" t="s">
        <v>188</v>
      </c>
      <c r="C59" s="347"/>
      <c r="D59" s="312">
        <v>106980</v>
      </c>
      <c r="E59" s="349">
        <v>9</v>
      </c>
      <c r="F59" s="296" t="s">
        <v>52</v>
      </c>
      <c r="G59" s="297" t="s">
        <v>52</v>
      </c>
      <c r="H59" s="298"/>
      <c r="I59" s="299"/>
      <c r="J59" s="298">
        <v>40114</v>
      </c>
      <c r="K59" s="299">
        <v>37006</v>
      </c>
      <c r="L59" s="298">
        <v>9628</v>
      </c>
      <c r="M59" s="299">
        <v>8939</v>
      </c>
      <c r="N59" s="298">
        <v>37094</v>
      </c>
      <c r="O59" s="299">
        <v>40731</v>
      </c>
      <c r="P59" s="601">
        <f t="shared" si="15"/>
        <v>86836</v>
      </c>
      <c r="Q59" s="602">
        <f t="shared" si="16"/>
        <v>2894.5333333333333</v>
      </c>
      <c r="R59" s="603">
        <f t="shared" si="17"/>
        <v>86676</v>
      </c>
      <c r="S59" s="604">
        <f t="shared" si="18"/>
        <v>2889.2</v>
      </c>
      <c r="T59" s="298">
        <v>3954</v>
      </c>
      <c r="U59" s="299">
        <v>5730</v>
      </c>
      <c r="V59" s="601">
        <f t="shared" si="19"/>
        <v>86836</v>
      </c>
      <c r="W59" s="605">
        <f t="shared" si="20"/>
        <v>86676</v>
      </c>
      <c r="X59" s="305"/>
      <c r="Y59" s="299"/>
      <c r="Z59" s="298"/>
      <c r="AA59" s="299"/>
      <c r="AB59" s="298"/>
      <c r="AC59" s="299"/>
      <c r="AD59" s="298"/>
      <c r="AE59" s="299"/>
      <c r="AF59" s="601">
        <f t="shared" si="21"/>
        <v>0</v>
      </c>
      <c r="AG59" s="602">
        <f t="shared" si="22"/>
        <v>0</v>
      </c>
      <c r="AH59" s="603">
        <f t="shared" si="23"/>
        <v>0</v>
      </c>
      <c r="AI59" s="603">
        <f t="shared" si="24"/>
        <v>0</v>
      </c>
      <c r="AJ59" s="298"/>
      <c r="AK59" s="299"/>
      <c r="AL59" s="601">
        <f t="shared" si="25"/>
        <v>0</v>
      </c>
      <c r="AM59" s="604">
        <f t="shared" si="26"/>
        <v>0</v>
      </c>
      <c r="AN59" s="306"/>
      <c r="AO59" s="307"/>
      <c r="AP59" s="298"/>
      <c r="AQ59" s="307"/>
      <c r="AR59" s="298"/>
      <c r="AS59" s="307"/>
      <c r="AT59" s="298"/>
      <c r="AU59" s="307"/>
      <c r="AV59" s="601">
        <f t="shared" si="27"/>
        <v>0</v>
      </c>
      <c r="AW59" s="609">
        <f t="shared" si="28"/>
        <v>0</v>
      </c>
      <c r="AX59" s="603">
        <f t="shared" si="29"/>
        <v>0</v>
      </c>
      <c r="AY59" s="610">
        <f t="shared" si="30"/>
        <v>0</v>
      </c>
      <c r="AZ59" s="611">
        <f t="shared" si="31"/>
        <v>2894.5333333333333</v>
      </c>
      <c r="BA59" s="603">
        <f t="shared" si="32"/>
        <v>2889.2</v>
      </c>
    </row>
    <row r="60" spans="1:53">
      <c r="A60" s="312" t="s">
        <v>168</v>
      </c>
      <c r="B60" s="311" t="s">
        <v>181</v>
      </c>
      <c r="C60" s="347"/>
      <c r="D60" s="312">
        <v>107327</v>
      </c>
      <c r="E60" s="312">
        <v>10</v>
      </c>
      <c r="F60" s="296" t="s">
        <v>52</v>
      </c>
      <c r="G60" s="297" t="s">
        <v>52</v>
      </c>
      <c r="H60" s="298"/>
      <c r="I60" s="299"/>
      <c r="J60" s="298">
        <v>19336</v>
      </c>
      <c r="K60" s="299">
        <v>18136</v>
      </c>
      <c r="L60" s="298">
        <v>5809</v>
      </c>
      <c r="M60" s="299">
        <v>4353</v>
      </c>
      <c r="N60" s="298">
        <v>20042</v>
      </c>
      <c r="O60" s="299">
        <v>18526</v>
      </c>
      <c r="P60" s="601">
        <f t="shared" si="15"/>
        <v>45187</v>
      </c>
      <c r="Q60" s="602">
        <f t="shared" si="16"/>
        <v>1506.2333333333333</v>
      </c>
      <c r="R60" s="603">
        <f t="shared" si="17"/>
        <v>41015</v>
      </c>
      <c r="S60" s="604">
        <f t="shared" si="18"/>
        <v>1367.1666666666667</v>
      </c>
      <c r="T60" s="298">
        <v>1487</v>
      </c>
      <c r="U60" s="299">
        <v>1315</v>
      </c>
      <c r="V60" s="601">
        <f t="shared" si="19"/>
        <v>45187</v>
      </c>
      <c r="W60" s="605">
        <f t="shared" si="20"/>
        <v>41015</v>
      </c>
      <c r="X60" s="305"/>
      <c r="Y60" s="299"/>
      <c r="Z60" s="298"/>
      <c r="AA60" s="299"/>
      <c r="AB60" s="298"/>
      <c r="AC60" s="299"/>
      <c r="AD60" s="298"/>
      <c r="AE60" s="299"/>
      <c r="AF60" s="601">
        <f t="shared" si="21"/>
        <v>0</v>
      </c>
      <c r="AG60" s="602">
        <f t="shared" si="22"/>
        <v>0</v>
      </c>
      <c r="AH60" s="603">
        <f t="shared" si="23"/>
        <v>0</v>
      </c>
      <c r="AI60" s="603">
        <f t="shared" si="24"/>
        <v>0</v>
      </c>
      <c r="AJ60" s="298"/>
      <c r="AK60" s="299"/>
      <c r="AL60" s="601">
        <f t="shared" si="25"/>
        <v>0</v>
      </c>
      <c r="AM60" s="604">
        <f t="shared" si="26"/>
        <v>0</v>
      </c>
      <c r="AN60" s="306"/>
      <c r="AO60" s="307"/>
      <c r="AP60" s="298"/>
      <c r="AQ60" s="307"/>
      <c r="AR60" s="298"/>
      <c r="AS60" s="307"/>
      <c r="AT60" s="298"/>
      <c r="AU60" s="307"/>
      <c r="AV60" s="601">
        <f t="shared" si="27"/>
        <v>0</v>
      </c>
      <c r="AW60" s="609">
        <f t="shared" si="28"/>
        <v>0</v>
      </c>
      <c r="AX60" s="603">
        <f t="shared" si="29"/>
        <v>0</v>
      </c>
      <c r="AY60" s="610">
        <f t="shared" si="30"/>
        <v>0</v>
      </c>
      <c r="AZ60" s="611">
        <f t="shared" si="31"/>
        <v>1506.2333333333333</v>
      </c>
      <c r="BA60" s="603">
        <f t="shared" si="32"/>
        <v>1367.1666666666667</v>
      </c>
    </row>
    <row r="61" spans="1:53">
      <c r="A61" s="312" t="s">
        <v>168</v>
      </c>
      <c r="B61" s="311" t="s">
        <v>182</v>
      </c>
      <c r="C61" s="347"/>
      <c r="D61" s="312">
        <v>420538</v>
      </c>
      <c r="E61" s="312">
        <v>10</v>
      </c>
      <c r="F61" s="296" t="s">
        <v>52</v>
      </c>
      <c r="G61" s="297" t="s">
        <v>52</v>
      </c>
      <c r="H61" s="298"/>
      <c r="I61" s="299"/>
      <c r="J61" s="298">
        <v>16202</v>
      </c>
      <c r="K61" s="299">
        <v>15864</v>
      </c>
      <c r="L61" s="298">
        <v>3841</v>
      </c>
      <c r="M61" s="299">
        <v>3293</v>
      </c>
      <c r="N61" s="298">
        <v>17499</v>
      </c>
      <c r="O61" s="299">
        <v>16415</v>
      </c>
      <c r="P61" s="601">
        <f t="shared" si="15"/>
        <v>37542</v>
      </c>
      <c r="Q61" s="602">
        <f t="shared" si="16"/>
        <v>1251.4000000000001</v>
      </c>
      <c r="R61" s="603">
        <f t="shared" si="17"/>
        <v>35572</v>
      </c>
      <c r="S61" s="604">
        <f t="shared" si="18"/>
        <v>1185.7333333333333</v>
      </c>
      <c r="T61" s="298">
        <v>507</v>
      </c>
      <c r="U61" s="299">
        <v>535</v>
      </c>
      <c r="V61" s="601">
        <f t="shared" si="19"/>
        <v>37542</v>
      </c>
      <c r="W61" s="605">
        <f t="shared" si="20"/>
        <v>35572</v>
      </c>
      <c r="X61" s="305"/>
      <c r="Y61" s="299"/>
      <c r="Z61" s="298"/>
      <c r="AA61" s="299"/>
      <c r="AB61" s="298"/>
      <c r="AC61" s="299"/>
      <c r="AD61" s="298"/>
      <c r="AE61" s="299"/>
      <c r="AF61" s="601">
        <f t="shared" si="21"/>
        <v>0</v>
      </c>
      <c r="AG61" s="602">
        <f t="shared" si="22"/>
        <v>0</v>
      </c>
      <c r="AH61" s="603">
        <f t="shared" si="23"/>
        <v>0</v>
      </c>
      <c r="AI61" s="603">
        <f t="shared" si="24"/>
        <v>0</v>
      </c>
      <c r="AJ61" s="298"/>
      <c r="AK61" s="299"/>
      <c r="AL61" s="601">
        <f t="shared" si="25"/>
        <v>0</v>
      </c>
      <c r="AM61" s="604">
        <f t="shared" si="26"/>
        <v>0</v>
      </c>
      <c r="AN61" s="306"/>
      <c r="AO61" s="307"/>
      <c r="AP61" s="298"/>
      <c r="AQ61" s="307"/>
      <c r="AR61" s="298"/>
      <c r="AS61" s="307"/>
      <c r="AT61" s="298"/>
      <c r="AU61" s="307"/>
      <c r="AV61" s="601">
        <f t="shared" si="27"/>
        <v>0</v>
      </c>
      <c r="AW61" s="609">
        <f t="shared" si="28"/>
        <v>0</v>
      </c>
      <c r="AX61" s="603">
        <f t="shared" si="29"/>
        <v>0</v>
      </c>
      <c r="AY61" s="610">
        <f t="shared" si="30"/>
        <v>0</v>
      </c>
      <c r="AZ61" s="611">
        <f t="shared" si="31"/>
        <v>1251.4000000000001</v>
      </c>
      <c r="BA61" s="603">
        <f t="shared" si="32"/>
        <v>1185.7333333333333</v>
      </c>
    </row>
    <row r="62" spans="1:53">
      <c r="A62" s="312" t="s">
        <v>168</v>
      </c>
      <c r="B62" s="311" t="s">
        <v>183</v>
      </c>
      <c r="C62" s="347"/>
      <c r="D62" s="312">
        <v>440402</v>
      </c>
      <c r="E62" s="312">
        <v>10</v>
      </c>
      <c r="F62" s="296" t="s">
        <v>52</v>
      </c>
      <c r="G62" s="297" t="s">
        <v>52</v>
      </c>
      <c r="H62" s="298"/>
      <c r="I62" s="299"/>
      <c r="J62" s="298">
        <v>18878</v>
      </c>
      <c r="K62" s="299">
        <v>17811</v>
      </c>
      <c r="L62" s="298">
        <v>8030</v>
      </c>
      <c r="M62" s="299">
        <v>7597</v>
      </c>
      <c r="N62" s="298">
        <v>19850</v>
      </c>
      <c r="O62" s="299">
        <v>18807</v>
      </c>
      <c r="P62" s="601">
        <f t="shared" si="15"/>
        <v>46758</v>
      </c>
      <c r="Q62" s="602">
        <f t="shared" si="16"/>
        <v>1558.6</v>
      </c>
      <c r="R62" s="603">
        <f t="shared" si="17"/>
        <v>44215</v>
      </c>
      <c r="S62" s="604">
        <f t="shared" si="18"/>
        <v>1473.8333333333333</v>
      </c>
      <c r="T62" s="298">
        <v>5794</v>
      </c>
      <c r="U62" s="299">
        <v>5458</v>
      </c>
      <c r="V62" s="601">
        <f t="shared" si="19"/>
        <v>46758</v>
      </c>
      <c r="W62" s="605">
        <f t="shared" si="20"/>
        <v>44215</v>
      </c>
      <c r="X62" s="305"/>
      <c r="Y62" s="299"/>
      <c r="Z62" s="298"/>
      <c r="AA62" s="299"/>
      <c r="AB62" s="298"/>
      <c r="AC62" s="299"/>
      <c r="AD62" s="298"/>
      <c r="AE62" s="299"/>
      <c r="AF62" s="601">
        <f t="shared" si="21"/>
        <v>0</v>
      </c>
      <c r="AG62" s="602">
        <f t="shared" si="22"/>
        <v>0</v>
      </c>
      <c r="AH62" s="603">
        <f t="shared" si="23"/>
        <v>0</v>
      </c>
      <c r="AI62" s="603">
        <f t="shared" si="24"/>
        <v>0</v>
      </c>
      <c r="AJ62" s="298"/>
      <c r="AK62" s="299"/>
      <c r="AL62" s="601">
        <f t="shared" si="25"/>
        <v>0</v>
      </c>
      <c r="AM62" s="604">
        <f t="shared" si="26"/>
        <v>0</v>
      </c>
      <c r="AN62" s="306"/>
      <c r="AO62" s="307"/>
      <c r="AP62" s="298"/>
      <c r="AQ62" s="307"/>
      <c r="AR62" s="298"/>
      <c r="AS62" s="307"/>
      <c r="AT62" s="298"/>
      <c r="AU62" s="307"/>
      <c r="AV62" s="601">
        <f t="shared" si="27"/>
        <v>0</v>
      </c>
      <c r="AW62" s="609">
        <f t="shared" si="28"/>
        <v>0</v>
      </c>
      <c r="AX62" s="603">
        <f t="shared" si="29"/>
        <v>0</v>
      </c>
      <c r="AY62" s="610">
        <f t="shared" si="30"/>
        <v>0</v>
      </c>
      <c r="AZ62" s="611">
        <f t="shared" si="31"/>
        <v>1558.6</v>
      </c>
      <c r="BA62" s="603">
        <f t="shared" si="32"/>
        <v>1473.8333333333333</v>
      </c>
    </row>
    <row r="63" spans="1:53">
      <c r="A63" s="312" t="s">
        <v>168</v>
      </c>
      <c r="B63" s="322" t="s">
        <v>184</v>
      </c>
      <c r="C63" s="347" t="s">
        <v>270</v>
      </c>
      <c r="D63" s="312">
        <v>106625</v>
      </c>
      <c r="E63" s="312">
        <v>10</v>
      </c>
      <c r="F63" s="296" t="s">
        <v>52</v>
      </c>
      <c r="G63" s="297" t="s">
        <v>52</v>
      </c>
      <c r="H63" s="298"/>
      <c r="I63" s="299"/>
      <c r="J63" s="298">
        <v>25597</v>
      </c>
      <c r="K63" s="299">
        <v>28142</v>
      </c>
      <c r="L63" s="298">
        <v>6917</v>
      </c>
      <c r="M63" s="299">
        <v>6566</v>
      </c>
      <c r="N63" s="298">
        <v>28148</v>
      </c>
      <c r="O63" s="299">
        <v>28259</v>
      </c>
      <c r="P63" s="601">
        <f t="shared" si="15"/>
        <v>60662</v>
      </c>
      <c r="Q63" s="602">
        <f t="shared" si="16"/>
        <v>2022.0666666666666</v>
      </c>
      <c r="R63" s="603">
        <f t="shared" si="17"/>
        <v>62967</v>
      </c>
      <c r="S63" s="604">
        <f t="shared" si="18"/>
        <v>2098.9</v>
      </c>
      <c r="T63" s="298">
        <v>2168</v>
      </c>
      <c r="U63" s="299">
        <v>2331</v>
      </c>
      <c r="V63" s="601">
        <f t="shared" si="19"/>
        <v>60662</v>
      </c>
      <c r="W63" s="605">
        <f t="shared" si="20"/>
        <v>62967</v>
      </c>
      <c r="X63" s="305"/>
      <c r="Y63" s="299"/>
      <c r="Z63" s="298"/>
      <c r="AA63" s="299"/>
      <c r="AB63" s="298"/>
      <c r="AC63" s="299"/>
      <c r="AD63" s="298"/>
      <c r="AE63" s="299"/>
      <c r="AF63" s="601">
        <f t="shared" si="21"/>
        <v>0</v>
      </c>
      <c r="AG63" s="602">
        <f t="shared" si="22"/>
        <v>0</v>
      </c>
      <c r="AH63" s="603">
        <f t="shared" si="23"/>
        <v>0</v>
      </c>
      <c r="AI63" s="603">
        <f t="shared" si="24"/>
        <v>0</v>
      </c>
      <c r="AJ63" s="298"/>
      <c r="AK63" s="299"/>
      <c r="AL63" s="601">
        <f t="shared" si="25"/>
        <v>0</v>
      </c>
      <c r="AM63" s="604">
        <f t="shared" si="26"/>
        <v>0</v>
      </c>
      <c r="AN63" s="306"/>
      <c r="AO63" s="307"/>
      <c r="AP63" s="298"/>
      <c r="AQ63" s="307"/>
      <c r="AR63" s="298"/>
      <c r="AS63" s="307"/>
      <c r="AT63" s="298"/>
      <c r="AU63" s="307"/>
      <c r="AV63" s="601">
        <f t="shared" si="27"/>
        <v>0</v>
      </c>
      <c r="AW63" s="609">
        <f t="shared" si="28"/>
        <v>0</v>
      </c>
      <c r="AX63" s="603">
        <f t="shared" si="29"/>
        <v>0</v>
      </c>
      <c r="AY63" s="610">
        <f t="shared" si="30"/>
        <v>0</v>
      </c>
      <c r="AZ63" s="611">
        <f t="shared" si="31"/>
        <v>2022.0666666666666</v>
      </c>
      <c r="BA63" s="603">
        <f t="shared" si="32"/>
        <v>2098.9</v>
      </c>
    </row>
    <row r="64" spans="1:53">
      <c r="A64" s="312" t="s">
        <v>168</v>
      </c>
      <c r="B64" s="322" t="s">
        <v>271</v>
      </c>
      <c r="C64" s="350" t="s">
        <v>272</v>
      </c>
      <c r="D64" s="312">
        <v>107521</v>
      </c>
      <c r="E64" s="312">
        <v>10</v>
      </c>
      <c r="F64" s="296" t="s">
        <v>52</v>
      </c>
      <c r="G64" s="297" t="s">
        <v>52</v>
      </c>
      <c r="H64" s="298"/>
      <c r="I64" s="299"/>
      <c r="J64" s="298">
        <v>12535</v>
      </c>
      <c r="K64" s="299">
        <v>13485</v>
      </c>
      <c r="L64" s="298">
        <v>2483</v>
      </c>
      <c r="M64" s="299">
        <v>2590</v>
      </c>
      <c r="N64" s="298">
        <v>13735</v>
      </c>
      <c r="O64" s="299">
        <v>13181</v>
      </c>
      <c r="P64" s="601">
        <f t="shared" si="15"/>
        <v>28753</v>
      </c>
      <c r="Q64" s="602">
        <f t="shared" si="16"/>
        <v>958.43333333333328</v>
      </c>
      <c r="R64" s="603">
        <f t="shared" si="17"/>
        <v>29256</v>
      </c>
      <c r="S64" s="604">
        <f t="shared" si="18"/>
        <v>975.2</v>
      </c>
      <c r="T64" s="298">
        <v>4493</v>
      </c>
      <c r="U64" s="299">
        <v>5560</v>
      </c>
      <c r="V64" s="601">
        <f t="shared" si="19"/>
        <v>28753</v>
      </c>
      <c r="W64" s="605">
        <f t="shared" si="20"/>
        <v>29256</v>
      </c>
      <c r="X64" s="305"/>
      <c r="Y64" s="299"/>
      <c r="Z64" s="298"/>
      <c r="AA64" s="299"/>
      <c r="AB64" s="298"/>
      <c r="AC64" s="299"/>
      <c r="AD64" s="298"/>
      <c r="AE64" s="299"/>
      <c r="AF64" s="601">
        <f t="shared" si="21"/>
        <v>0</v>
      </c>
      <c r="AG64" s="602">
        <f t="shared" si="22"/>
        <v>0</v>
      </c>
      <c r="AH64" s="603">
        <f t="shared" si="23"/>
        <v>0</v>
      </c>
      <c r="AI64" s="603">
        <f t="shared" si="24"/>
        <v>0</v>
      </c>
      <c r="AJ64" s="298"/>
      <c r="AK64" s="299"/>
      <c r="AL64" s="601">
        <f t="shared" si="25"/>
        <v>0</v>
      </c>
      <c r="AM64" s="604">
        <f t="shared" si="26"/>
        <v>0</v>
      </c>
      <c r="AN64" s="306"/>
      <c r="AO64" s="307"/>
      <c r="AP64" s="298"/>
      <c r="AQ64" s="307"/>
      <c r="AR64" s="298"/>
      <c r="AS64" s="307"/>
      <c r="AT64" s="298"/>
      <c r="AU64" s="307"/>
      <c r="AV64" s="601">
        <f t="shared" si="27"/>
        <v>0</v>
      </c>
      <c r="AW64" s="609">
        <f t="shared" si="28"/>
        <v>0</v>
      </c>
      <c r="AX64" s="603">
        <f t="shared" si="29"/>
        <v>0</v>
      </c>
      <c r="AY64" s="610">
        <f t="shared" si="30"/>
        <v>0</v>
      </c>
      <c r="AZ64" s="611">
        <f t="shared" si="31"/>
        <v>958.43333333333328</v>
      </c>
      <c r="BA64" s="603">
        <f t="shared" si="32"/>
        <v>975.2</v>
      </c>
    </row>
    <row r="65" spans="1:53">
      <c r="A65" s="312" t="s">
        <v>168</v>
      </c>
      <c r="B65" s="311" t="s">
        <v>185</v>
      </c>
      <c r="C65" s="347"/>
      <c r="D65" s="312">
        <v>106795</v>
      </c>
      <c r="E65" s="312">
        <v>10</v>
      </c>
      <c r="F65" s="296" t="s">
        <v>52</v>
      </c>
      <c r="G65" s="297" t="s">
        <v>52</v>
      </c>
      <c r="H65" s="298"/>
      <c r="I65" s="299"/>
      <c r="J65" s="298">
        <v>13458</v>
      </c>
      <c r="K65" s="299">
        <v>14067</v>
      </c>
      <c r="L65" s="298">
        <v>4264</v>
      </c>
      <c r="M65" s="299">
        <v>3942</v>
      </c>
      <c r="N65" s="298">
        <v>14480</v>
      </c>
      <c r="O65" s="299">
        <v>13642</v>
      </c>
      <c r="P65" s="601">
        <f t="shared" si="15"/>
        <v>32202</v>
      </c>
      <c r="Q65" s="602">
        <f t="shared" si="16"/>
        <v>1073.4000000000001</v>
      </c>
      <c r="R65" s="603">
        <f t="shared" si="17"/>
        <v>31651</v>
      </c>
      <c r="S65" s="604">
        <f t="shared" si="18"/>
        <v>1055.0333333333333</v>
      </c>
      <c r="T65" s="298">
        <v>3338</v>
      </c>
      <c r="U65" s="299">
        <v>3366</v>
      </c>
      <c r="V65" s="601">
        <f t="shared" si="19"/>
        <v>32202</v>
      </c>
      <c r="W65" s="605">
        <f t="shared" si="20"/>
        <v>31651</v>
      </c>
      <c r="X65" s="305"/>
      <c r="Y65" s="299"/>
      <c r="Z65" s="298"/>
      <c r="AA65" s="299"/>
      <c r="AB65" s="298"/>
      <c r="AC65" s="299"/>
      <c r="AD65" s="298"/>
      <c r="AE65" s="299"/>
      <c r="AF65" s="601">
        <f t="shared" si="21"/>
        <v>0</v>
      </c>
      <c r="AG65" s="602">
        <f t="shared" si="22"/>
        <v>0</v>
      </c>
      <c r="AH65" s="603">
        <f t="shared" si="23"/>
        <v>0</v>
      </c>
      <c r="AI65" s="603">
        <f t="shared" si="24"/>
        <v>0</v>
      </c>
      <c r="AJ65" s="298"/>
      <c r="AK65" s="299"/>
      <c r="AL65" s="601">
        <f t="shared" si="25"/>
        <v>0</v>
      </c>
      <c r="AM65" s="604">
        <f t="shared" si="26"/>
        <v>0</v>
      </c>
      <c r="AN65" s="306"/>
      <c r="AO65" s="307"/>
      <c r="AP65" s="298"/>
      <c r="AQ65" s="307"/>
      <c r="AR65" s="298"/>
      <c r="AS65" s="307"/>
      <c r="AT65" s="298"/>
      <c r="AU65" s="307"/>
      <c r="AV65" s="601">
        <f t="shared" si="27"/>
        <v>0</v>
      </c>
      <c r="AW65" s="609">
        <f t="shared" si="28"/>
        <v>0</v>
      </c>
      <c r="AX65" s="603">
        <f t="shared" si="29"/>
        <v>0</v>
      </c>
      <c r="AY65" s="610">
        <f t="shared" si="30"/>
        <v>0</v>
      </c>
      <c r="AZ65" s="611">
        <f t="shared" si="31"/>
        <v>1073.4000000000001</v>
      </c>
      <c r="BA65" s="603">
        <f t="shared" si="32"/>
        <v>1055.0333333333333</v>
      </c>
    </row>
    <row r="66" spans="1:53">
      <c r="A66" s="312" t="s">
        <v>168</v>
      </c>
      <c r="B66" s="311" t="s">
        <v>186</v>
      </c>
      <c r="C66" s="347"/>
      <c r="D66" s="312">
        <v>106883</v>
      </c>
      <c r="E66" s="312">
        <v>10</v>
      </c>
      <c r="F66" s="296" t="s">
        <v>52</v>
      </c>
      <c r="G66" s="297" t="s">
        <v>52</v>
      </c>
      <c r="H66" s="298"/>
      <c r="I66" s="299"/>
      <c r="J66" s="298">
        <v>14103</v>
      </c>
      <c r="K66" s="299">
        <v>12789</v>
      </c>
      <c r="L66" s="298">
        <v>4552</v>
      </c>
      <c r="M66" s="299">
        <v>4393</v>
      </c>
      <c r="N66" s="298">
        <v>13460</v>
      </c>
      <c r="O66" s="299">
        <v>12236</v>
      </c>
      <c r="P66" s="601">
        <f t="shared" si="15"/>
        <v>32115</v>
      </c>
      <c r="Q66" s="602">
        <f t="shared" si="16"/>
        <v>1070.5</v>
      </c>
      <c r="R66" s="603">
        <f t="shared" si="17"/>
        <v>29418</v>
      </c>
      <c r="S66" s="604">
        <f t="shared" si="18"/>
        <v>980.6</v>
      </c>
      <c r="T66" s="298">
        <v>967</v>
      </c>
      <c r="U66" s="299">
        <v>1021</v>
      </c>
      <c r="V66" s="601">
        <f t="shared" si="19"/>
        <v>32115</v>
      </c>
      <c r="W66" s="605">
        <f t="shared" si="20"/>
        <v>29418</v>
      </c>
      <c r="X66" s="305"/>
      <c r="Y66" s="299"/>
      <c r="Z66" s="298"/>
      <c r="AA66" s="299"/>
      <c r="AB66" s="298"/>
      <c r="AC66" s="299"/>
      <c r="AD66" s="298"/>
      <c r="AE66" s="299"/>
      <c r="AF66" s="601">
        <f t="shared" si="21"/>
        <v>0</v>
      </c>
      <c r="AG66" s="602">
        <f t="shared" si="22"/>
        <v>0</v>
      </c>
      <c r="AH66" s="603">
        <f t="shared" si="23"/>
        <v>0</v>
      </c>
      <c r="AI66" s="603">
        <f t="shared" si="24"/>
        <v>0</v>
      </c>
      <c r="AJ66" s="298"/>
      <c r="AK66" s="299"/>
      <c r="AL66" s="601">
        <f t="shared" si="25"/>
        <v>0</v>
      </c>
      <c r="AM66" s="604">
        <f t="shared" si="26"/>
        <v>0</v>
      </c>
      <c r="AN66" s="306"/>
      <c r="AO66" s="307"/>
      <c r="AP66" s="298"/>
      <c r="AQ66" s="307"/>
      <c r="AR66" s="298"/>
      <c r="AS66" s="307"/>
      <c r="AT66" s="298"/>
      <c r="AU66" s="307"/>
      <c r="AV66" s="601">
        <f t="shared" si="27"/>
        <v>0</v>
      </c>
      <c r="AW66" s="609">
        <f t="shared" si="28"/>
        <v>0</v>
      </c>
      <c r="AX66" s="603">
        <f t="shared" si="29"/>
        <v>0</v>
      </c>
      <c r="AY66" s="610">
        <f t="shared" si="30"/>
        <v>0</v>
      </c>
      <c r="AZ66" s="611">
        <f t="shared" si="31"/>
        <v>1070.5</v>
      </c>
      <c r="BA66" s="603">
        <f t="shared" si="32"/>
        <v>980.6</v>
      </c>
    </row>
    <row r="67" spans="1:53">
      <c r="A67" s="312" t="s">
        <v>168</v>
      </c>
      <c r="B67" s="311" t="s">
        <v>187</v>
      </c>
      <c r="C67" s="347"/>
      <c r="D67" s="312">
        <v>107318</v>
      </c>
      <c r="E67" s="312">
        <v>10</v>
      </c>
      <c r="F67" s="296" t="s">
        <v>52</v>
      </c>
      <c r="G67" s="297" t="s">
        <v>52</v>
      </c>
      <c r="H67" s="298"/>
      <c r="I67" s="299"/>
      <c r="J67" s="298">
        <v>17891</v>
      </c>
      <c r="K67" s="299">
        <v>16776</v>
      </c>
      <c r="L67" s="298">
        <v>4904</v>
      </c>
      <c r="M67" s="299">
        <v>3003</v>
      </c>
      <c r="N67" s="298">
        <v>20720</v>
      </c>
      <c r="O67" s="299">
        <v>18875</v>
      </c>
      <c r="P67" s="601">
        <f t="shared" si="15"/>
        <v>43515</v>
      </c>
      <c r="Q67" s="602">
        <f t="shared" si="16"/>
        <v>1450.5</v>
      </c>
      <c r="R67" s="603">
        <f t="shared" si="17"/>
        <v>38654</v>
      </c>
      <c r="S67" s="604">
        <f t="shared" si="18"/>
        <v>1288.4666666666667</v>
      </c>
      <c r="T67" s="298">
        <v>3764</v>
      </c>
      <c r="U67" s="299">
        <v>4612</v>
      </c>
      <c r="V67" s="601">
        <f t="shared" si="19"/>
        <v>43515</v>
      </c>
      <c r="W67" s="605">
        <f t="shared" si="20"/>
        <v>38654</v>
      </c>
      <c r="X67" s="305"/>
      <c r="Y67" s="299"/>
      <c r="Z67" s="298"/>
      <c r="AA67" s="299"/>
      <c r="AB67" s="298"/>
      <c r="AC67" s="299"/>
      <c r="AD67" s="298"/>
      <c r="AE67" s="299"/>
      <c r="AF67" s="601">
        <f t="shared" si="21"/>
        <v>0</v>
      </c>
      <c r="AG67" s="602">
        <f t="shared" si="22"/>
        <v>0</v>
      </c>
      <c r="AH67" s="603">
        <f t="shared" si="23"/>
        <v>0</v>
      </c>
      <c r="AI67" s="603">
        <f t="shared" si="24"/>
        <v>0</v>
      </c>
      <c r="AJ67" s="298"/>
      <c r="AK67" s="299"/>
      <c r="AL67" s="601">
        <f t="shared" si="25"/>
        <v>0</v>
      </c>
      <c r="AM67" s="604">
        <f t="shared" si="26"/>
        <v>0</v>
      </c>
      <c r="AN67" s="306"/>
      <c r="AO67" s="307"/>
      <c r="AP67" s="298"/>
      <c r="AQ67" s="307"/>
      <c r="AR67" s="298"/>
      <c r="AS67" s="307"/>
      <c r="AT67" s="298"/>
      <c r="AU67" s="307"/>
      <c r="AV67" s="601">
        <f t="shared" si="27"/>
        <v>0</v>
      </c>
      <c r="AW67" s="609">
        <f t="shared" si="28"/>
        <v>0</v>
      </c>
      <c r="AX67" s="603">
        <f t="shared" si="29"/>
        <v>0</v>
      </c>
      <c r="AY67" s="610">
        <f t="shared" si="30"/>
        <v>0</v>
      </c>
      <c r="AZ67" s="611">
        <f t="shared" si="31"/>
        <v>1450.5</v>
      </c>
      <c r="BA67" s="603">
        <f t="shared" si="32"/>
        <v>1288.4666666666667</v>
      </c>
    </row>
    <row r="68" spans="1:53">
      <c r="A68" s="312" t="s">
        <v>168</v>
      </c>
      <c r="B68" s="311" t="s">
        <v>189</v>
      </c>
      <c r="C68" s="347"/>
      <c r="D68" s="312">
        <v>107460</v>
      </c>
      <c r="E68" s="312">
        <v>10</v>
      </c>
      <c r="F68" s="296" t="s">
        <v>52</v>
      </c>
      <c r="G68" s="297" t="s">
        <v>52</v>
      </c>
      <c r="H68" s="298"/>
      <c r="I68" s="299"/>
      <c r="J68" s="298">
        <v>25603</v>
      </c>
      <c r="K68" s="299">
        <v>26346</v>
      </c>
      <c r="L68" s="298">
        <v>3878</v>
      </c>
      <c r="M68" s="299">
        <v>4023</v>
      </c>
      <c r="N68" s="298">
        <v>27432</v>
      </c>
      <c r="O68" s="299">
        <v>25954</v>
      </c>
      <c r="P68" s="601">
        <f t="shared" si="15"/>
        <v>56913</v>
      </c>
      <c r="Q68" s="602">
        <f t="shared" si="16"/>
        <v>1897.1</v>
      </c>
      <c r="R68" s="603">
        <f t="shared" si="17"/>
        <v>56323</v>
      </c>
      <c r="S68" s="604">
        <f t="shared" si="18"/>
        <v>1877.4333333333334</v>
      </c>
      <c r="T68" s="298">
        <v>2086</v>
      </c>
      <c r="U68" s="299">
        <v>1896</v>
      </c>
      <c r="V68" s="601">
        <f t="shared" si="19"/>
        <v>56913</v>
      </c>
      <c r="W68" s="605">
        <f t="shared" si="20"/>
        <v>56323</v>
      </c>
      <c r="X68" s="305"/>
      <c r="Y68" s="299"/>
      <c r="Z68" s="298"/>
      <c r="AA68" s="299"/>
      <c r="AB68" s="298"/>
      <c r="AC68" s="299"/>
      <c r="AD68" s="298"/>
      <c r="AE68" s="299"/>
      <c r="AF68" s="601">
        <f t="shared" si="21"/>
        <v>0</v>
      </c>
      <c r="AG68" s="602">
        <f t="shared" si="22"/>
        <v>0</v>
      </c>
      <c r="AH68" s="603">
        <f t="shared" si="23"/>
        <v>0</v>
      </c>
      <c r="AI68" s="603">
        <f t="shared" si="24"/>
        <v>0</v>
      </c>
      <c r="AJ68" s="298"/>
      <c r="AK68" s="299"/>
      <c r="AL68" s="601">
        <f t="shared" si="25"/>
        <v>0</v>
      </c>
      <c r="AM68" s="604">
        <f t="shared" si="26"/>
        <v>0</v>
      </c>
      <c r="AN68" s="306"/>
      <c r="AO68" s="307"/>
      <c r="AP68" s="298"/>
      <c r="AQ68" s="307"/>
      <c r="AR68" s="298"/>
      <c r="AS68" s="307"/>
      <c r="AT68" s="298"/>
      <c r="AU68" s="307"/>
      <c r="AV68" s="601">
        <f t="shared" si="27"/>
        <v>0</v>
      </c>
      <c r="AW68" s="609">
        <f t="shared" si="28"/>
        <v>0</v>
      </c>
      <c r="AX68" s="603">
        <f t="shared" si="29"/>
        <v>0</v>
      </c>
      <c r="AY68" s="610">
        <f t="shared" si="30"/>
        <v>0</v>
      </c>
      <c r="AZ68" s="611">
        <f t="shared" si="31"/>
        <v>1897.1</v>
      </c>
      <c r="BA68" s="603">
        <f t="shared" si="32"/>
        <v>1877.4333333333334</v>
      </c>
    </row>
    <row r="69" spans="1:53">
      <c r="A69" s="312" t="s">
        <v>168</v>
      </c>
      <c r="B69" s="311" t="s">
        <v>190</v>
      </c>
      <c r="C69" s="347"/>
      <c r="D69" s="312">
        <v>107549</v>
      </c>
      <c r="E69" s="312">
        <v>10</v>
      </c>
      <c r="F69" s="296" t="s">
        <v>52</v>
      </c>
      <c r="G69" s="297" t="s">
        <v>52</v>
      </c>
      <c r="H69" s="298"/>
      <c r="I69" s="299"/>
      <c r="J69" s="298">
        <v>13868</v>
      </c>
      <c r="K69" s="299">
        <v>17413</v>
      </c>
      <c r="L69" s="298">
        <v>3247</v>
      </c>
      <c r="M69" s="299">
        <v>3965</v>
      </c>
      <c r="N69" s="298">
        <v>16775</v>
      </c>
      <c r="O69" s="299">
        <v>17576</v>
      </c>
      <c r="P69" s="601">
        <f t="shared" si="15"/>
        <v>33890</v>
      </c>
      <c r="Q69" s="602">
        <f t="shared" si="16"/>
        <v>1129.6666666666667</v>
      </c>
      <c r="R69" s="603">
        <f t="shared" si="17"/>
        <v>38954</v>
      </c>
      <c r="S69" s="604">
        <f t="shared" si="18"/>
        <v>1298.4666666666667</v>
      </c>
      <c r="T69" s="298">
        <v>1359</v>
      </c>
      <c r="U69" s="299">
        <v>1257</v>
      </c>
      <c r="V69" s="601">
        <f t="shared" si="19"/>
        <v>33890</v>
      </c>
      <c r="W69" s="605">
        <f t="shared" si="20"/>
        <v>38954</v>
      </c>
      <c r="X69" s="305"/>
      <c r="Y69" s="299"/>
      <c r="Z69" s="298"/>
      <c r="AA69" s="299"/>
      <c r="AB69" s="298"/>
      <c r="AC69" s="299"/>
      <c r="AD69" s="298"/>
      <c r="AE69" s="299"/>
      <c r="AF69" s="601">
        <f t="shared" si="21"/>
        <v>0</v>
      </c>
      <c r="AG69" s="602">
        <f t="shared" si="22"/>
        <v>0</v>
      </c>
      <c r="AH69" s="603">
        <f t="shared" si="23"/>
        <v>0</v>
      </c>
      <c r="AI69" s="603">
        <f t="shared" si="24"/>
        <v>0</v>
      </c>
      <c r="AJ69" s="298"/>
      <c r="AK69" s="299"/>
      <c r="AL69" s="601">
        <f t="shared" si="25"/>
        <v>0</v>
      </c>
      <c r="AM69" s="604">
        <f t="shared" si="26"/>
        <v>0</v>
      </c>
      <c r="AN69" s="306"/>
      <c r="AO69" s="307"/>
      <c r="AP69" s="298"/>
      <c r="AQ69" s="307"/>
      <c r="AR69" s="298"/>
      <c r="AS69" s="307"/>
      <c r="AT69" s="298"/>
      <c r="AU69" s="307"/>
      <c r="AV69" s="601">
        <f t="shared" si="27"/>
        <v>0</v>
      </c>
      <c r="AW69" s="609">
        <f t="shared" si="28"/>
        <v>0</v>
      </c>
      <c r="AX69" s="603">
        <f t="shared" si="29"/>
        <v>0</v>
      </c>
      <c r="AY69" s="610">
        <f t="shared" si="30"/>
        <v>0</v>
      </c>
      <c r="AZ69" s="611">
        <f t="shared" si="31"/>
        <v>1129.6666666666667</v>
      </c>
      <c r="BA69" s="603">
        <f t="shared" si="32"/>
        <v>1298.4666666666667</v>
      </c>
    </row>
    <row r="70" spans="1:53">
      <c r="A70" s="312" t="s">
        <v>168</v>
      </c>
      <c r="B70" s="311" t="s">
        <v>191</v>
      </c>
      <c r="C70" s="347"/>
      <c r="D70" s="312">
        <v>107619</v>
      </c>
      <c r="E70" s="312">
        <v>10</v>
      </c>
      <c r="F70" s="296" t="s">
        <v>52</v>
      </c>
      <c r="G70" s="297" t="s">
        <v>52</v>
      </c>
      <c r="H70" s="298"/>
      <c r="I70" s="299"/>
      <c r="J70" s="298">
        <v>18463</v>
      </c>
      <c r="K70" s="299">
        <v>17287</v>
      </c>
      <c r="L70" s="298">
        <v>3749</v>
      </c>
      <c r="M70" s="299">
        <v>3844</v>
      </c>
      <c r="N70" s="298">
        <v>19205</v>
      </c>
      <c r="O70" s="299">
        <v>18885</v>
      </c>
      <c r="P70" s="601">
        <f t="shared" si="15"/>
        <v>41417</v>
      </c>
      <c r="Q70" s="602">
        <f t="shared" si="16"/>
        <v>1380.5666666666666</v>
      </c>
      <c r="R70" s="603">
        <f t="shared" si="17"/>
        <v>40016</v>
      </c>
      <c r="S70" s="604">
        <f t="shared" si="18"/>
        <v>1333.8666666666666</v>
      </c>
      <c r="T70" s="298">
        <v>5611</v>
      </c>
      <c r="U70" s="299">
        <v>6604</v>
      </c>
      <c r="V70" s="601">
        <f t="shared" si="19"/>
        <v>41417</v>
      </c>
      <c r="W70" s="605">
        <f t="shared" si="20"/>
        <v>40016</v>
      </c>
      <c r="X70" s="305"/>
      <c r="Y70" s="299"/>
      <c r="Z70" s="298"/>
      <c r="AA70" s="299"/>
      <c r="AB70" s="298"/>
      <c r="AC70" s="299"/>
      <c r="AD70" s="298"/>
      <c r="AE70" s="299"/>
      <c r="AF70" s="601">
        <f t="shared" si="21"/>
        <v>0</v>
      </c>
      <c r="AG70" s="602">
        <f t="shared" si="22"/>
        <v>0</v>
      </c>
      <c r="AH70" s="603">
        <f t="shared" si="23"/>
        <v>0</v>
      </c>
      <c r="AI70" s="603">
        <f t="shared" si="24"/>
        <v>0</v>
      </c>
      <c r="AJ70" s="298"/>
      <c r="AK70" s="299"/>
      <c r="AL70" s="601">
        <f t="shared" si="25"/>
        <v>0</v>
      </c>
      <c r="AM70" s="604">
        <f t="shared" si="26"/>
        <v>0</v>
      </c>
      <c r="AN70" s="306"/>
      <c r="AO70" s="307"/>
      <c r="AP70" s="298"/>
      <c r="AQ70" s="307"/>
      <c r="AR70" s="298"/>
      <c r="AS70" s="307"/>
      <c r="AT70" s="298"/>
      <c r="AU70" s="307"/>
      <c r="AV70" s="601">
        <f t="shared" si="27"/>
        <v>0</v>
      </c>
      <c r="AW70" s="609">
        <f t="shared" si="28"/>
        <v>0</v>
      </c>
      <c r="AX70" s="603">
        <f t="shared" si="29"/>
        <v>0</v>
      </c>
      <c r="AY70" s="610">
        <f t="shared" si="30"/>
        <v>0</v>
      </c>
      <c r="AZ70" s="611">
        <f t="shared" si="31"/>
        <v>1380.5666666666666</v>
      </c>
      <c r="BA70" s="603">
        <f t="shared" si="32"/>
        <v>1333.8666666666666</v>
      </c>
    </row>
    <row r="71" spans="1:53">
      <c r="A71" s="312" t="s">
        <v>168</v>
      </c>
      <c r="B71" s="311" t="s">
        <v>192</v>
      </c>
      <c r="C71" s="347"/>
      <c r="D71" s="312">
        <v>107743</v>
      </c>
      <c r="E71" s="312">
        <v>10</v>
      </c>
      <c r="F71" s="296" t="s">
        <v>52</v>
      </c>
      <c r="G71" s="297" t="s">
        <v>52</v>
      </c>
      <c r="H71" s="298"/>
      <c r="I71" s="299"/>
      <c r="J71" s="298">
        <v>9167</v>
      </c>
      <c r="K71" s="299">
        <v>9605</v>
      </c>
      <c r="L71" s="298">
        <v>1406</v>
      </c>
      <c r="M71" s="299">
        <v>1459</v>
      </c>
      <c r="N71" s="298">
        <v>9539</v>
      </c>
      <c r="O71" s="299">
        <v>9769</v>
      </c>
      <c r="P71" s="601">
        <f t="shared" ref="P71:P134" si="33">SUM(H71,J71,L71,N71)</f>
        <v>20112</v>
      </c>
      <c r="Q71" s="602">
        <f t="shared" ref="Q71:Q134" si="34">+P71/30</f>
        <v>670.4</v>
      </c>
      <c r="R71" s="603">
        <f t="shared" ref="R71:R134" si="35">SUM(I71,K71,M71,O71)</f>
        <v>20833</v>
      </c>
      <c r="S71" s="604">
        <f t="shared" ref="S71:S134" si="36">+R71/30</f>
        <v>694.43333333333328</v>
      </c>
      <c r="T71" s="298">
        <v>2569</v>
      </c>
      <c r="U71" s="299">
        <v>2683</v>
      </c>
      <c r="V71" s="601">
        <f t="shared" ref="V71:V134" si="37">IF(ISBLANK(T71),0,P71)</f>
        <v>20112</v>
      </c>
      <c r="W71" s="605">
        <f t="shared" ref="W71:W134" si="38">IF(ISBLANK(U71),0,R71)</f>
        <v>20833</v>
      </c>
      <c r="X71" s="305"/>
      <c r="Y71" s="299"/>
      <c r="Z71" s="298"/>
      <c r="AA71" s="299"/>
      <c r="AB71" s="298"/>
      <c r="AC71" s="299"/>
      <c r="AD71" s="298"/>
      <c r="AE71" s="299"/>
      <c r="AF71" s="601">
        <f t="shared" ref="AF71:AF134" si="39">SUM(X71,Z71,AB71,AD71)</f>
        <v>0</v>
      </c>
      <c r="AG71" s="602">
        <f t="shared" ref="AG71:AG134" si="40">+AF71/900</f>
        <v>0</v>
      </c>
      <c r="AH71" s="603">
        <f t="shared" ref="AH71:AH134" si="41">SUM(Y71,AA71,AC71,AE71)</f>
        <v>0</v>
      </c>
      <c r="AI71" s="603">
        <f t="shared" ref="AI71:AI134" si="42">+AH71/900</f>
        <v>0</v>
      </c>
      <c r="AJ71" s="298"/>
      <c r="AK71" s="299"/>
      <c r="AL71" s="601">
        <f t="shared" ref="AL71:AL134" si="43">IF(ISBLANK(AJ71),0,AF71)</f>
        <v>0</v>
      </c>
      <c r="AM71" s="604">
        <f t="shared" ref="AM71:AM134" si="44">IF(ISBLANK(AK71),0,AH71)</f>
        <v>0</v>
      </c>
      <c r="AN71" s="306"/>
      <c r="AO71" s="307"/>
      <c r="AP71" s="298"/>
      <c r="AQ71" s="307"/>
      <c r="AR71" s="298"/>
      <c r="AS71" s="307"/>
      <c r="AT71" s="298"/>
      <c r="AU71" s="307"/>
      <c r="AV71" s="601">
        <f t="shared" ref="AV71:AV134" si="45">SUM(AN71,AP71,AR71,AT71)</f>
        <v>0</v>
      </c>
      <c r="AW71" s="609">
        <f t="shared" ref="AW71:AW134" si="46">+AV71/24</f>
        <v>0</v>
      </c>
      <c r="AX71" s="603">
        <f t="shared" ref="AX71:AX134" si="47">SUM(AO71,AQ71,AS71,AU71)</f>
        <v>0</v>
      </c>
      <c r="AY71" s="610">
        <f t="shared" ref="AY71:AY134" si="48">+AX71/24</f>
        <v>0</v>
      </c>
      <c r="AZ71" s="611">
        <f t="shared" ref="AZ71:AZ134" si="49">SUM(Q71,AG71,AW71)</f>
        <v>670.4</v>
      </c>
      <c r="BA71" s="603">
        <f t="shared" ref="BA71:BA134" si="50">SUM(S71,AI71,AY71)</f>
        <v>694.43333333333328</v>
      </c>
    </row>
    <row r="72" spans="1:53">
      <c r="A72" s="312" t="s">
        <v>168</v>
      </c>
      <c r="B72" s="311" t="s">
        <v>193</v>
      </c>
      <c r="C72" s="347"/>
      <c r="D72" s="312">
        <v>107974</v>
      </c>
      <c r="E72" s="312">
        <v>10</v>
      </c>
      <c r="F72" s="296" t="s">
        <v>52</v>
      </c>
      <c r="G72" s="297" t="s">
        <v>52</v>
      </c>
      <c r="H72" s="298"/>
      <c r="I72" s="299"/>
      <c r="J72" s="298">
        <v>17189</v>
      </c>
      <c r="K72" s="299">
        <v>17047</v>
      </c>
      <c r="L72" s="298">
        <v>6603</v>
      </c>
      <c r="M72" s="299">
        <v>7185</v>
      </c>
      <c r="N72" s="298">
        <v>17039</v>
      </c>
      <c r="O72" s="299">
        <v>17513</v>
      </c>
      <c r="P72" s="601">
        <f t="shared" si="33"/>
        <v>40831</v>
      </c>
      <c r="Q72" s="602">
        <f t="shared" si="34"/>
        <v>1361.0333333333333</v>
      </c>
      <c r="R72" s="603">
        <f t="shared" si="35"/>
        <v>41745</v>
      </c>
      <c r="S72" s="604">
        <f t="shared" si="36"/>
        <v>1391.5</v>
      </c>
      <c r="T72" s="298">
        <v>2371</v>
      </c>
      <c r="U72" s="299">
        <v>2397</v>
      </c>
      <c r="V72" s="601">
        <f t="shared" si="37"/>
        <v>40831</v>
      </c>
      <c r="W72" s="605">
        <f t="shared" si="38"/>
        <v>41745</v>
      </c>
      <c r="X72" s="305"/>
      <c r="Y72" s="299"/>
      <c r="Z72" s="298"/>
      <c r="AA72" s="299"/>
      <c r="AB72" s="298"/>
      <c r="AC72" s="299"/>
      <c r="AD72" s="298"/>
      <c r="AE72" s="299"/>
      <c r="AF72" s="601">
        <f t="shared" si="39"/>
        <v>0</v>
      </c>
      <c r="AG72" s="602">
        <f t="shared" si="40"/>
        <v>0</v>
      </c>
      <c r="AH72" s="603">
        <f t="shared" si="41"/>
        <v>0</v>
      </c>
      <c r="AI72" s="603">
        <f t="shared" si="42"/>
        <v>0</v>
      </c>
      <c r="AJ72" s="298"/>
      <c r="AK72" s="299"/>
      <c r="AL72" s="601">
        <f t="shared" si="43"/>
        <v>0</v>
      </c>
      <c r="AM72" s="604">
        <f t="shared" si="44"/>
        <v>0</v>
      </c>
      <c r="AN72" s="306"/>
      <c r="AO72" s="307"/>
      <c r="AP72" s="298"/>
      <c r="AQ72" s="307"/>
      <c r="AR72" s="298"/>
      <c r="AS72" s="307"/>
      <c r="AT72" s="298"/>
      <c r="AU72" s="307"/>
      <c r="AV72" s="601">
        <f t="shared" si="45"/>
        <v>0</v>
      </c>
      <c r="AW72" s="609">
        <f t="shared" si="46"/>
        <v>0</v>
      </c>
      <c r="AX72" s="603">
        <f t="shared" si="47"/>
        <v>0</v>
      </c>
      <c r="AY72" s="610">
        <f t="shared" si="48"/>
        <v>0</v>
      </c>
      <c r="AZ72" s="611">
        <f t="shared" si="49"/>
        <v>1361.0333333333333</v>
      </c>
      <c r="BA72" s="603">
        <f t="shared" si="50"/>
        <v>1391.5</v>
      </c>
    </row>
    <row r="73" spans="1:53">
      <c r="A73" s="312" t="s">
        <v>168</v>
      </c>
      <c r="B73" s="311" t="s">
        <v>194</v>
      </c>
      <c r="C73" s="347"/>
      <c r="D73" s="312">
        <v>107637</v>
      </c>
      <c r="E73" s="312">
        <v>10</v>
      </c>
      <c r="F73" s="296" t="s">
        <v>52</v>
      </c>
      <c r="G73" s="297" t="s">
        <v>52</v>
      </c>
      <c r="H73" s="298"/>
      <c r="I73" s="299"/>
      <c r="J73" s="298">
        <v>20837</v>
      </c>
      <c r="K73" s="299">
        <v>19519</v>
      </c>
      <c r="L73" s="298">
        <v>6763</v>
      </c>
      <c r="M73" s="299">
        <v>6006</v>
      </c>
      <c r="N73" s="298">
        <v>20963</v>
      </c>
      <c r="O73" s="299">
        <v>21344</v>
      </c>
      <c r="P73" s="601">
        <f t="shared" si="33"/>
        <v>48563</v>
      </c>
      <c r="Q73" s="602">
        <f t="shared" si="34"/>
        <v>1618.7666666666667</v>
      </c>
      <c r="R73" s="603">
        <f t="shared" si="35"/>
        <v>46869</v>
      </c>
      <c r="S73" s="604">
        <f t="shared" si="36"/>
        <v>1562.3</v>
      </c>
      <c r="T73" s="298">
        <v>978</v>
      </c>
      <c r="U73" s="299">
        <v>2111</v>
      </c>
      <c r="V73" s="601">
        <f t="shared" si="37"/>
        <v>48563</v>
      </c>
      <c r="W73" s="605">
        <f t="shared" si="38"/>
        <v>46869</v>
      </c>
      <c r="X73" s="305"/>
      <c r="Y73" s="299"/>
      <c r="Z73" s="298"/>
      <c r="AA73" s="299"/>
      <c r="AB73" s="298"/>
      <c r="AC73" s="299"/>
      <c r="AD73" s="298"/>
      <c r="AE73" s="299"/>
      <c r="AF73" s="601">
        <f t="shared" si="39"/>
        <v>0</v>
      </c>
      <c r="AG73" s="602">
        <f t="shared" si="40"/>
        <v>0</v>
      </c>
      <c r="AH73" s="603">
        <f t="shared" si="41"/>
        <v>0</v>
      </c>
      <c r="AI73" s="603">
        <f t="shared" si="42"/>
        <v>0</v>
      </c>
      <c r="AJ73" s="298"/>
      <c r="AK73" s="299"/>
      <c r="AL73" s="601">
        <f t="shared" si="43"/>
        <v>0</v>
      </c>
      <c r="AM73" s="604">
        <f t="shared" si="44"/>
        <v>0</v>
      </c>
      <c r="AN73" s="306"/>
      <c r="AO73" s="307"/>
      <c r="AP73" s="298"/>
      <c r="AQ73" s="307"/>
      <c r="AR73" s="298"/>
      <c r="AS73" s="307"/>
      <c r="AT73" s="298"/>
      <c r="AU73" s="307"/>
      <c r="AV73" s="601">
        <f t="shared" si="45"/>
        <v>0</v>
      </c>
      <c r="AW73" s="609">
        <f t="shared" si="46"/>
        <v>0</v>
      </c>
      <c r="AX73" s="603">
        <f t="shared" si="47"/>
        <v>0</v>
      </c>
      <c r="AY73" s="610">
        <f t="shared" si="48"/>
        <v>0</v>
      </c>
      <c r="AZ73" s="611">
        <f t="shared" si="49"/>
        <v>1618.7666666666667</v>
      </c>
      <c r="BA73" s="603">
        <f t="shared" si="50"/>
        <v>1562.3</v>
      </c>
    </row>
    <row r="74" spans="1:53">
      <c r="A74" s="312" t="s">
        <v>168</v>
      </c>
      <c r="B74" s="311" t="s">
        <v>195</v>
      </c>
      <c r="C74" s="347"/>
      <c r="D74" s="312">
        <v>107992</v>
      </c>
      <c r="E74" s="312">
        <v>10</v>
      </c>
      <c r="F74" s="296" t="s">
        <v>52</v>
      </c>
      <c r="G74" s="297" t="s">
        <v>52</v>
      </c>
      <c r="H74" s="298"/>
      <c r="I74" s="299"/>
      <c r="J74" s="298">
        <v>17923</v>
      </c>
      <c r="K74" s="299">
        <v>18874</v>
      </c>
      <c r="L74" s="298">
        <v>5092</v>
      </c>
      <c r="M74" s="299">
        <v>5377</v>
      </c>
      <c r="N74" s="298">
        <v>16243</v>
      </c>
      <c r="O74" s="299">
        <v>18006</v>
      </c>
      <c r="P74" s="601">
        <f t="shared" si="33"/>
        <v>39258</v>
      </c>
      <c r="Q74" s="602">
        <f t="shared" si="34"/>
        <v>1308.5999999999999</v>
      </c>
      <c r="R74" s="603">
        <f t="shared" si="35"/>
        <v>42257</v>
      </c>
      <c r="S74" s="604">
        <f t="shared" si="36"/>
        <v>1408.5666666666666</v>
      </c>
      <c r="T74" s="298">
        <v>8380</v>
      </c>
      <c r="U74" s="299">
        <v>10801</v>
      </c>
      <c r="V74" s="601">
        <f t="shared" si="37"/>
        <v>39258</v>
      </c>
      <c r="W74" s="605">
        <f t="shared" si="38"/>
        <v>42257</v>
      </c>
      <c r="X74" s="305"/>
      <c r="Y74" s="299"/>
      <c r="Z74" s="298"/>
      <c r="AA74" s="299"/>
      <c r="AB74" s="298"/>
      <c r="AC74" s="299"/>
      <c r="AD74" s="298"/>
      <c r="AE74" s="299"/>
      <c r="AF74" s="601">
        <f t="shared" si="39"/>
        <v>0</v>
      </c>
      <c r="AG74" s="602">
        <f t="shared" si="40"/>
        <v>0</v>
      </c>
      <c r="AH74" s="603">
        <f t="shared" si="41"/>
        <v>0</v>
      </c>
      <c r="AI74" s="603">
        <f t="shared" si="42"/>
        <v>0</v>
      </c>
      <c r="AJ74" s="298"/>
      <c r="AK74" s="299"/>
      <c r="AL74" s="601">
        <f t="shared" si="43"/>
        <v>0</v>
      </c>
      <c r="AM74" s="604">
        <f t="shared" si="44"/>
        <v>0</v>
      </c>
      <c r="AN74" s="306"/>
      <c r="AO74" s="307"/>
      <c r="AP74" s="298"/>
      <c r="AQ74" s="307"/>
      <c r="AR74" s="298"/>
      <c r="AS74" s="307"/>
      <c r="AT74" s="298"/>
      <c r="AU74" s="307"/>
      <c r="AV74" s="601">
        <f t="shared" si="45"/>
        <v>0</v>
      </c>
      <c r="AW74" s="609">
        <f t="shared" si="46"/>
        <v>0</v>
      </c>
      <c r="AX74" s="603">
        <f t="shared" si="47"/>
        <v>0</v>
      </c>
      <c r="AY74" s="610">
        <f t="shared" si="48"/>
        <v>0</v>
      </c>
      <c r="AZ74" s="611">
        <f t="shared" si="49"/>
        <v>1308.5999999999999</v>
      </c>
      <c r="BA74" s="603">
        <f t="shared" si="50"/>
        <v>1408.5666666666666</v>
      </c>
    </row>
    <row r="75" spans="1:53">
      <c r="A75" s="312" t="s">
        <v>168</v>
      </c>
      <c r="B75" s="311" t="s">
        <v>196</v>
      </c>
      <c r="C75" s="347"/>
      <c r="D75" s="312">
        <v>106999</v>
      </c>
      <c r="E75" s="312">
        <v>10</v>
      </c>
      <c r="F75" s="296" t="s">
        <v>52</v>
      </c>
      <c r="G75" s="297" t="s">
        <v>52</v>
      </c>
      <c r="H75" s="298"/>
      <c r="I75" s="299"/>
      <c r="J75" s="298">
        <v>18869</v>
      </c>
      <c r="K75" s="299">
        <v>18090</v>
      </c>
      <c r="L75" s="298">
        <v>4055</v>
      </c>
      <c r="M75" s="299">
        <v>3530</v>
      </c>
      <c r="N75" s="298">
        <v>18553</v>
      </c>
      <c r="O75" s="299">
        <v>17005</v>
      </c>
      <c r="P75" s="601">
        <f t="shared" si="33"/>
        <v>41477</v>
      </c>
      <c r="Q75" s="602">
        <f t="shared" si="34"/>
        <v>1382.5666666666666</v>
      </c>
      <c r="R75" s="603">
        <f t="shared" si="35"/>
        <v>38625</v>
      </c>
      <c r="S75" s="604">
        <f t="shared" si="36"/>
        <v>1287.5</v>
      </c>
      <c r="T75" s="298">
        <v>799</v>
      </c>
      <c r="U75" s="299">
        <v>924</v>
      </c>
      <c r="V75" s="601">
        <f t="shared" si="37"/>
        <v>41477</v>
      </c>
      <c r="W75" s="605">
        <f t="shared" si="38"/>
        <v>38625</v>
      </c>
      <c r="X75" s="305"/>
      <c r="Y75" s="299"/>
      <c r="Z75" s="298"/>
      <c r="AA75" s="299"/>
      <c r="AB75" s="298"/>
      <c r="AC75" s="299"/>
      <c r="AD75" s="298"/>
      <c r="AE75" s="299"/>
      <c r="AF75" s="601">
        <f t="shared" si="39"/>
        <v>0</v>
      </c>
      <c r="AG75" s="602">
        <f t="shared" si="40"/>
        <v>0</v>
      </c>
      <c r="AH75" s="603">
        <f t="shared" si="41"/>
        <v>0</v>
      </c>
      <c r="AI75" s="603">
        <f t="shared" si="42"/>
        <v>0</v>
      </c>
      <c r="AJ75" s="298"/>
      <c r="AK75" s="299"/>
      <c r="AL75" s="601">
        <f t="shared" si="43"/>
        <v>0</v>
      </c>
      <c r="AM75" s="604">
        <f t="shared" si="44"/>
        <v>0</v>
      </c>
      <c r="AN75" s="306"/>
      <c r="AO75" s="307"/>
      <c r="AP75" s="298"/>
      <c r="AQ75" s="307"/>
      <c r="AR75" s="298"/>
      <c r="AS75" s="307"/>
      <c r="AT75" s="298"/>
      <c r="AU75" s="307"/>
      <c r="AV75" s="601">
        <f t="shared" si="45"/>
        <v>0</v>
      </c>
      <c r="AW75" s="609">
        <f t="shared" si="46"/>
        <v>0</v>
      </c>
      <c r="AX75" s="603">
        <f t="shared" si="47"/>
        <v>0</v>
      </c>
      <c r="AY75" s="610">
        <f t="shared" si="48"/>
        <v>0</v>
      </c>
      <c r="AZ75" s="611">
        <f t="shared" si="49"/>
        <v>1382.5666666666666</v>
      </c>
      <c r="BA75" s="603">
        <f t="shared" si="50"/>
        <v>1287.5</v>
      </c>
    </row>
    <row r="76" spans="1:53">
      <c r="A76" s="312" t="s">
        <v>168</v>
      </c>
      <c r="B76" s="311" t="s">
        <v>197</v>
      </c>
      <c r="C76" s="347"/>
      <c r="D76" s="312">
        <v>107725</v>
      </c>
      <c r="E76" s="312">
        <v>10</v>
      </c>
      <c r="F76" s="296" t="s">
        <v>52</v>
      </c>
      <c r="G76" s="297" t="s">
        <v>52</v>
      </c>
      <c r="H76" s="298"/>
      <c r="I76" s="299"/>
      <c r="J76" s="298">
        <v>15148</v>
      </c>
      <c r="K76" s="299">
        <v>14520</v>
      </c>
      <c r="L76" s="298">
        <v>3265</v>
      </c>
      <c r="M76" s="299">
        <v>2923</v>
      </c>
      <c r="N76" s="298">
        <v>16164</v>
      </c>
      <c r="O76" s="299">
        <v>14038</v>
      </c>
      <c r="P76" s="601">
        <f t="shared" si="33"/>
        <v>34577</v>
      </c>
      <c r="Q76" s="602">
        <f t="shared" si="34"/>
        <v>1152.5666666666666</v>
      </c>
      <c r="R76" s="603">
        <f t="shared" si="35"/>
        <v>31481</v>
      </c>
      <c r="S76" s="604">
        <f t="shared" si="36"/>
        <v>1049.3666666666666</v>
      </c>
      <c r="T76" s="298">
        <v>1472</v>
      </c>
      <c r="U76" s="299">
        <v>1664</v>
      </c>
      <c r="V76" s="601">
        <f t="shared" si="37"/>
        <v>34577</v>
      </c>
      <c r="W76" s="605">
        <f t="shared" si="38"/>
        <v>31481</v>
      </c>
      <c r="X76" s="305"/>
      <c r="Y76" s="299"/>
      <c r="Z76" s="298"/>
      <c r="AA76" s="299"/>
      <c r="AB76" s="298"/>
      <c r="AC76" s="299"/>
      <c r="AD76" s="298"/>
      <c r="AE76" s="299"/>
      <c r="AF76" s="601">
        <f t="shared" si="39"/>
        <v>0</v>
      </c>
      <c r="AG76" s="602">
        <f t="shared" si="40"/>
        <v>0</v>
      </c>
      <c r="AH76" s="603">
        <f t="shared" si="41"/>
        <v>0</v>
      </c>
      <c r="AI76" s="603">
        <f t="shared" si="42"/>
        <v>0</v>
      </c>
      <c r="AJ76" s="298"/>
      <c r="AK76" s="299"/>
      <c r="AL76" s="601">
        <f t="shared" si="43"/>
        <v>0</v>
      </c>
      <c r="AM76" s="604">
        <f t="shared" si="44"/>
        <v>0</v>
      </c>
      <c r="AN76" s="306"/>
      <c r="AO76" s="307"/>
      <c r="AP76" s="298"/>
      <c r="AQ76" s="307"/>
      <c r="AR76" s="298"/>
      <c r="AS76" s="307"/>
      <c r="AT76" s="298"/>
      <c r="AU76" s="307"/>
      <c r="AV76" s="601">
        <f t="shared" si="45"/>
        <v>0</v>
      </c>
      <c r="AW76" s="609">
        <f t="shared" si="46"/>
        <v>0</v>
      </c>
      <c r="AX76" s="603">
        <f t="shared" si="47"/>
        <v>0</v>
      </c>
      <c r="AY76" s="610">
        <f t="shared" si="48"/>
        <v>0</v>
      </c>
      <c r="AZ76" s="611">
        <f t="shared" si="49"/>
        <v>1152.5666666666666</v>
      </c>
      <c r="BA76" s="603">
        <f t="shared" si="50"/>
        <v>1049.3666666666666</v>
      </c>
    </row>
    <row r="77" spans="1:53">
      <c r="A77" s="312" t="s">
        <v>168</v>
      </c>
      <c r="B77" s="311" t="s">
        <v>198</v>
      </c>
      <c r="C77" s="347"/>
      <c r="D77" s="312">
        <v>107585</v>
      </c>
      <c r="E77" s="312">
        <v>10</v>
      </c>
      <c r="F77" s="296" t="s">
        <v>52</v>
      </c>
      <c r="G77" s="297" t="s">
        <v>52</v>
      </c>
      <c r="H77" s="298"/>
      <c r="I77" s="299"/>
      <c r="J77" s="298">
        <v>25700</v>
      </c>
      <c r="K77" s="299">
        <v>26522</v>
      </c>
      <c r="L77" s="298">
        <v>4366</v>
      </c>
      <c r="M77" s="299">
        <v>4261</v>
      </c>
      <c r="N77" s="298">
        <v>28590</v>
      </c>
      <c r="O77" s="299">
        <v>27158</v>
      </c>
      <c r="P77" s="601">
        <f t="shared" si="33"/>
        <v>58656</v>
      </c>
      <c r="Q77" s="602">
        <f t="shared" si="34"/>
        <v>1955.2</v>
      </c>
      <c r="R77" s="603">
        <f t="shared" si="35"/>
        <v>57941</v>
      </c>
      <c r="S77" s="604">
        <f t="shared" si="36"/>
        <v>1931.3666666666666</v>
      </c>
      <c r="T77" s="298">
        <v>536</v>
      </c>
      <c r="U77" s="299">
        <v>545</v>
      </c>
      <c r="V77" s="601">
        <f t="shared" si="37"/>
        <v>58656</v>
      </c>
      <c r="W77" s="605">
        <f t="shared" si="38"/>
        <v>57941</v>
      </c>
      <c r="X77" s="305"/>
      <c r="Y77" s="299"/>
      <c r="Z77" s="298"/>
      <c r="AA77" s="299"/>
      <c r="AB77" s="298"/>
      <c r="AC77" s="299"/>
      <c r="AD77" s="298"/>
      <c r="AE77" s="299"/>
      <c r="AF77" s="601">
        <f t="shared" si="39"/>
        <v>0</v>
      </c>
      <c r="AG77" s="602">
        <f t="shared" si="40"/>
        <v>0</v>
      </c>
      <c r="AH77" s="603">
        <f t="shared" si="41"/>
        <v>0</v>
      </c>
      <c r="AI77" s="603">
        <f t="shared" si="42"/>
        <v>0</v>
      </c>
      <c r="AJ77" s="298"/>
      <c r="AK77" s="299"/>
      <c r="AL77" s="601">
        <f t="shared" si="43"/>
        <v>0</v>
      </c>
      <c r="AM77" s="604">
        <f t="shared" si="44"/>
        <v>0</v>
      </c>
      <c r="AN77" s="306"/>
      <c r="AO77" s="307"/>
      <c r="AP77" s="298"/>
      <c r="AQ77" s="307"/>
      <c r="AR77" s="298"/>
      <c r="AS77" s="307"/>
      <c r="AT77" s="298"/>
      <c r="AU77" s="307"/>
      <c r="AV77" s="601">
        <f t="shared" si="45"/>
        <v>0</v>
      </c>
      <c r="AW77" s="609">
        <f t="shared" si="46"/>
        <v>0</v>
      </c>
      <c r="AX77" s="603">
        <f t="shared" si="47"/>
        <v>0</v>
      </c>
      <c r="AY77" s="610">
        <f t="shared" si="48"/>
        <v>0</v>
      </c>
      <c r="AZ77" s="611">
        <f t="shared" si="49"/>
        <v>1955.2</v>
      </c>
      <c r="BA77" s="603">
        <f t="shared" si="50"/>
        <v>1931.3666666666666</v>
      </c>
    </row>
    <row r="78" spans="1:53">
      <c r="A78" s="363" t="s">
        <v>8</v>
      </c>
      <c r="B78" s="364" t="s">
        <v>312</v>
      </c>
      <c r="C78" s="364"/>
      <c r="D78" s="363">
        <v>130943</v>
      </c>
      <c r="E78" s="363">
        <v>1</v>
      </c>
      <c r="F78" s="296" t="s">
        <v>52</v>
      </c>
      <c r="G78" s="297" t="s">
        <v>52</v>
      </c>
      <c r="H78" s="298">
        <v>32952</v>
      </c>
      <c r="I78" s="299">
        <v>32358</v>
      </c>
      <c r="J78" s="298">
        <v>226848</v>
      </c>
      <c r="K78" s="299">
        <v>227549</v>
      </c>
      <c r="L78" s="298">
        <v>15682</v>
      </c>
      <c r="M78" s="299">
        <v>14925</v>
      </c>
      <c r="N78" s="298">
        <v>244063</v>
      </c>
      <c r="O78" s="299">
        <v>250767</v>
      </c>
      <c r="P78" s="601">
        <f t="shared" si="33"/>
        <v>519545</v>
      </c>
      <c r="Q78" s="602">
        <f t="shared" si="34"/>
        <v>17318.166666666668</v>
      </c>
      <c r="R78" s="603">
        <f t="shared" si="35"/>
        <v>525599</v>
      </c>
      <c r="S78" s="604">
        <f t="shared" si="36"/>
        <v>17519.966666666667</v>
      </c>
      <c r="T78" s="298">
        <v>1917</v>
      </c>
      <c r="U78" s="299"/>
      <c r="V78" s="601">
        <f t="shared" si="37"/>
        <v>519545</v>
      </c>
      <c r="W78" s="605">
        <f t="shared" si="38"/>
        <v>0</v>
      </c>
      <c r="X78" s="305"/>
      <c r="Y78" s="299"/>
      <c r="Z78" s="298"/>
      <c r="AA78" s="299"/>
      <c r="AB78" s="298"/>
      <c r="AC78" s="299"/>
      <c r="AD78" s="298"/>
      <c r="AE78" s="299"/>
      <c r="AF78" s="601">
        <f t="shared" si="39"/>
        <v>0</v>
      </c>
      <c r="AG78" s="602">
        <f t="shared" si="40"/>
        <v>0</v>
      </c>
      <c r="AH78" s="603">
        <f t="shared" si="41"/>
        <v>0</v>
      </c>
      <c r="AI78" s="603">
        <f t="shared" si="42"/>
        <v>0</v>
      </c>
      <c r="AJ78" s="298"/>
      <c r="AK78" s="299"/>
      <c r="AL78" s="601">
        <f t="shared" si="43"/>
        <v>0</v>
      </c>
      <c r="AM78" s="604">
        <f t="shared" si="44"/>
        <v>0</v>
      </c>
      <c r="AN78" s="306">
        <v>1714</v>
      </c>
      <c r="AO78" s="307">
        <v>1643</v>
      </c>
      <c r="AP78" s="298">
        <v>22465</v>
      </c>
      <c r="AQ78" s="307">
        <v>21789</v>
      </c>
      <c r="AR78" s="298">
        <v>5193</v>
      </c>
      <c r="AS78" s="307">
        <v>5100</v>
      </c>
      <c r="AT78" s="298">
        <v>25153</v>
      </c>
      <c r="AU78" s="307">
        <v>23212</v>
      </c>
      <c r="AV78" s="601">
        <f t="shared" si="45"/>
        <v>54525</v>
      </c>
      <c r="AW78" s="609">
        <f t="shared" si="46"/>
        <v>2271.875</v>
      </c>
      <c r="AX78" s="603">
        <f t="shared" si="47"/>
        <v>51744</v>
      </c>
      <c r="AY78" s="610">
        <f t="shared" si="48"/>
        <v>2156</v>
      </c>
      <c r="AZ78" s="611">
        <f t="shared" si="49"/>
        <v>19590.041666666668</v>
      </c>
      <c r="BA78" s="603">
        <f t="shared" si="50"/>
        <v>19675.966666666667</v>
      </c>
    </row>
    <row r="79" spans="1:53">
      <c r="A79" s="363" t="s">
        <v>8</v>
      </c>
      <c r="B79" s="365" t="s">
        <v>313</v>
      </c>
      <c r="C79" s="366" t="s">
        <v>267</v>
      </c>
      <c r="D79" s="363">
        <v>130934</v>
      </c>
      <c r="E79" s="363">
        <v>4</v>
      </c>
      <c r="F79" s="296" t="s">
        <v>52</v>
      </c>
      <c r="G79" s="297" t="s">
        <v>52</v>
      </c>
      <c r="H79" s="298"/>
      <c r="I79" s="299"/>
      <c r="J79" s="358">
        <v>44478</v>
      </c>
      <c r="K79" s="299">
        <v>43388</v>
      </c>
      <c r="L79" s="358">
        <v>5238</v>
      </c>
      <c r="M79" s="299">
        <v>4723</v>
      </c>
      <c r="N79" s="358">
        <v>49868</v>
      </c>
      <c r="O79" s="299">
        <v>55120</v>
      </c>
      <c r="P79" s="601">
        <f t="shared" si="33"/>
        <v>99584</v>
      </c>
      <c r="Q79" s="602">
        <f t="shared" si="34"/>
        <v>3319.4666666666667</v>
      </c>
      <c r="R79" s="603">
        <f t="shared" si="35"/>
        <v>103231</v>
      </c>
      <c r="S79" s="604">
        <f t="shared" si="36"/>
        <v>3441.0333333333333</v>
      </c>
      <c r="T79" s="298">
        <v>180</v>
      </c>
      <c r="U79" s="299"/>
      <c r="V79" s="601">
        <f t="shared" si="37"/>
        <v>99584</v>
      </c>
      <c r="W79" s="605">
        <f t="shared" si="38"/>
        <v>0</v>
      </c>
      <c r="X79" s="305"/>
      <c r="Y79" s="299"/>
      <c r="Z79" s="298"/>
      <c r="AA79" s="299"/>
      <c r="AB79" s="298"/>
      <c r="AC79" s="299"/>
      <c r="AD79" s="298"/>
      <c r="AE79" s="299"/>
      <c r="AF79" s="601">
        <f t="shared" si="39"/>
        <v>0</v>
      </c>
      <c r="AG79" s="602">
        <f t="shared" si="40"/>
        <v>0</v>
      </c>
      <c r="AH79" s="603">
        <f t="shared" si="41"/>
        <v>0</v>
      </c>
      <c r="AI79" s="603">
        <f t="shared" si="42"/>
        <v>0</v>
      </c>
      <c r="AJ79" s="298"/>
      <c r="AK79" s="299"/>
      <c r="AL79" s="601">
        <f t="shared" si="43"/>
        <v>0</v>
      </c>
      <c r="AM79" s="604">
        <f t="shared" si="44"/>
        <v>0</v>
      </c>
      <c r="AN79" s="306"/>
      <c r="AO79" s="307"/>
      <c r="AP79" s="358">
        <v>2793</v>
      </c>
      <c r="AQ79" s="307">
        <v>3701</v>
      </c>
      <c r="AR79" s="358">
        <v>856</v>
      </c>
      <c r="AS79" s="307">
        <v>1178</v>
      </c>
      <c r="AT79" s="358">
        <v>3278</v>
      </c>
      <c r="AU79" s="307">
        <v>3236</v>
      </c>
      <c r="AV79" s="601">
        <f t="shared" si="45"/>
        <v>6927</v>
      </c>
      <c r="AW79" s="609">
        <f t="shared" si="46"/>
        <v>288.625</v>
      </c>
      <c r="AX79" s="603">
        <f t="shared" si="47"/>
        <v>8115</v>
      </c>
      <c r="AY79" s="610">
        <f t="shared" si="48"/>
        <v>338.125</v>
      </c>
      <c r="AZ79" s="611">
        <f t="shared" si="49"/>
        <v>3608.0916666666667</v>
      </c>
      <c r="BA79" s="603">
        <f t="shared" si="50"/>
        <v>3779.1583333333333</v>
      </c>
    </row>
    <row r="80" spans="1:53">
      <c r="A80" s="363" t="s">
        <v>8</v>
      </c>
      <c r="B80" s="367" t="s">
        <v>315</v>
      </c>
      <c r="C80" s="425" t="s">
        <v>269</v>
      </c>
      <c r="D80" s="363">
        <v>130916</v>
      </c>
      <c r="E80" s="426">
        <v>8</v>
      </c>
      <c r="F80" s="296" t="s">
        <v>52</v>
      </c>
      <c r="G80" s="297" t="s">
        <v>52</v>
      </c>
      <c r="H80" s="298"/>
      <c r="I80" s="299"/>
      <c r="J80" s="298">
        <v>69335</v>
      </c>
      <c r="K80" s="299">
        <v>67910</v>
      </c>
      <c r="L80" s="298">
        <v>18915</v>
      </c>
      <c r="M80" s="299">
        <v>18232</v>
      </c>
      <c r="N80" s="298">
        <v>74440</v>
      </c>
      <c r="O80" s="299">
        <v>71610</v>
      </c>
      <c r="P80" s="601">
        <f t="shared" si="33"/>
        <v>162690</v>
      </c>
      <c r="Q80" s="602">
        <f t="shared" si="34"/>
        <v>5423</v>
      </c>
      <c r="R80" s="603">
        <f t="shared" si="35"/>
        <v>157752</v>
      </c>
      <c r="S80" s="604">
        <f t="shared" si="36"/>
        <v>5258.4</v>
      </c>
      <c r="T80" s="298">
        <v>547</v>
      </c>
      <c r="U80" s="299"/>
      <c r="V80" s="601">
        <f t="shared" si="37"/>
        <v>162690</v>
      </c>
      <c r="W80" s="605">
        <f t="shared" si="38"/>
        <v>0</v>
      </c>
      <c r="X80" s="305"/>
      <c r="Y80" s="299"/>
      <c r="Z80" s="298"/>
      <c r="AA80" s="299"/>
      <c r="AB80" s="298"/>
      <c r="AC80" s="299"/>
      <c r="AD80" s="298"/>
      <c r="AE80" s="299"/>
      <c r="AF80" s="601">
        <f t="shared" si="39"/>
        <v>0</v>
      </c>
      <c r="AG80" s="602">
        <f t="shared" si="40"/>
        <v>0</v>
      </c>
      <c r="AH80" s="603">
        <f t="shared" si="41"/>
        <v>0</v>
      </c>
      <c r="AI80" s="603">
        <f t="shared" si="42"/>
        <v>0</v>
      </c>
      <c r="AJ80" s="298"/>
      <c r="AK80" s="299"/>
      <c r="AL80" s="601">
        <f t="shared" si="43"/>
        <v>0</v>
      </c>
      <c r="AM80" s="604">
        <f t="shared" si="44"/>
        <v>0</v>
      </c>
      <c r="AN80" s="306"/>
      <c r="AO80" s="307"/>
      <c r="AP80" s="298"/>
      <c r="AQ80" s="307"/>
      <c r="AR80" s="298"/>
      <c r="AS80" s="307"/>
      <c r="AT80" s="298"/>
      <c r="AU80" s="307"/>
      <c r="AV80" s="601">
        <f t="shared" si="45"/>
        <v>0</v>
      </c>
      <c r="AW80" s="609">
        <f t="shared" si="46"/>
        <v>0</v>
      </c>
      <c r="AX80" s="603">
        <f t="shared" si="47"/>
        <v>0</v>
      </c>
      <c r="AY80" s="610">
        <f t="shared" si="48"/>
        <v>0</v>
      </c>
      <c r="AZ80" s="611">
        <f t="shared" si="49"/>
        <v>5423</v>
      </c>
      <c r="BA80" s="603">
        <f t="shared" si="50"/>
        <v>5258.4</v>
      </c>
    </row>
    <row r="81" spans="1:53">
      <c r="A81" s="363" t="s">
        <v>8</v>
      </c>
      <c r="B81" s="367" t="s">
        <v>314</v>
      </c>
      <c r="C81" s="368"/>
      <c r="D81" s="363">
        <v>130891</v>
      </c>
      <c r="E81" s="363">
        <v>9</v>
      </c>
      <c r="F81" s="296" t="s">
        <v>52</v>
      </c>
      <c r="G81" s="297" t="s">
        <v>52</v>
      </c>
      <c r="H81" s="298"/>
      <c r="I81" s="299"/>
      <c r="J81" s="298">
        <v>45810</v>
      </c>
      <c r="K81" s="299">
        <v>46550</v>
      </c>
      <c r="L81" s="298">
        <v>8853</v>
      </c>
      <c r="M81" s="299">
        <v>8819</v>
      </c>
      <c r="N81" s="298">
        <v>51801</v>
      </c>
      <c r="O81" s="299">
        <v>48806</v>
      </c>
      <c r="P81" s="601">
        <f t="shared" si="33"/>
        <v>106464</v>
      </c>
      <c r="Q81" s="602">
        <f t="shared" si="34"/>
        <v>3548.8</v>
      </c>
      <c r="R81" s="603">
        <f t="shared" si="35"/>
        <v>104175</v>
      </c>
      <c r="S81" s="604">
        <f t="shared" si="36"/>
        <v>3472.5</v>
      </c>
      <c r="T81" s="298">
        <v>230</v>
      </c>
      <c r="U81" s="299"/>
      <c r="V81" s="601">
        <f t="shared" si="37"/>
        <v>106464</v>
      </c>
      <c r="W81" s="605">
        <f t="shared" si="38"/>
        <v>0</v>
      </c>
      <c r="X81" s="305"/>
      <c r="Y81" s="299"/>
      <c r="Z81" s="298"/>
      <c r="AA81" s="299"/>
      <c r="AB81" s="298"/>
      <c r="AC81" s="299"/>
      <c r="AD81" s="298"/>
      <c r="AE81" s="299"/>
      <c r="AF81" s="601">
        <f t="shared" si="39"/>
        <v>0</v>
      </c>
      <c r="AG81" s="602">
        <f t="shared" si="40"/>
        <v>0</v>
      </c>
      <c r="AH81" s="603">
        <f t="shared" si="41"/>
        <v>0</v>
      </c>
      <c r="AI81" s="603">
        <f t="shared" si="42"/>
        <v>0</v>
      </c>
      <c r="AJ81" s="298"/>
      <c r="AK81" s="299"/>
      <c r="AL81" s="601">
        <f t="shared" si="43"/>
        <v>0</v>
      </c>
      <c r="AM81" s="604">
        <f t="shared" si="44"/>
        <v>0</v>
      </c>
      <c r="AN81" s="306"/>
      <c r="AO81" s="307"/>
      <c r="AP81" s="298"/>
      <c r="AQ81" s="307"/>
      <c r="AR81" s="298"/>
      <c r="AS81" s="307"/>
      <c r="AT81" s="298"/>
      <c r="AU81" s="307"/>
      <c r="AV81" s="601">
        <f t="shared" si="45"/>
        <v>0</v>
      </c>
      <c r="AW81" s="609">
        <f t="shared" si="46"/>
        <v>0</v>
      </c>
      <c r="AX81" s="603">
        <f t="shared" si="47"/>
        <v>0</v>
      </c>
      <c r="AY81" s="610">
        <f t="shared" si="48"/>
        <v>0</v>
      </c>
      <c r="AZ81" s="611">
        <f t="shared" si="49"/>
        <v>3548.8</v>
      </c>
      <c r="BA81" s="603">
        <f t="shared" si="50"/>
        <v>3472.5</v>
      </c>
    </row>
    <row r="82" spans="1:53">
      <c r="A82" s="363" t="s">
        <v>8</v>
      </c>
      <c r="B82" s="364" t="s">
        <v>316</v>
      </c>
      <c r="C82" s="364"/>
      <c r="D82" s="363">
        <v>130907</v>
      </c>
      <c r="E82" s="363">
        <v>9</v>
      </c>
      <c r="F82" s="296" t="s">
        <v>52</v>
      </c>
      <c r="G82" s="297" t="s">
        <v>52</v>
      </c>
      <c r="H82" s="298"/>
      <c r="I82" s="299"/>
      <c r="J82" s="298">
        <v>31963</v>
      </c>
      <c r="K82" s="299">
        <v>32418</v>
      </c>
      <c r="L82" s="298">
        <v>8489</v>
      </c>
      <c r="M82" s="299">
        <v>8310</v>
      </c>
      <c r="N82" s="298">
        <v>33893</v>
      </c>
      <c r="O82" s="299">
        <v>33865</v>
      </c>
      <c r="P82" s="601">
        <f t="shared" si="33"/>
        <v>74345</v>
      </c>
      <c r="Q82" s="602">
        <f t="shared" si="34"/>
        <v>2478.1666666666665</v>
      </c>
      <c r="R82" s="603">
        <f t="shared" si="35"/>
        <v>74593</v>
      </c>
      <c r="S82" s="604">
        <f t="shared" si="36"/>
        <v>2486.4333333333334</v>
      </c>
      <c r="T82" s="298">
        <v>237</v>
      </c>
      <c r="U82" s="299"/>
      <c r="V82" s="601">
        <f t="shared" si="37"/>
        <v>74345</v>
      </c>
      <c r="W82" s="605">
        <f t="shared" si="38"/>
        <v>0</v>
      </c>
      <c r="X82" s="305"/>
      <c r="Y82" s="299"/>
      <c r="Z82" s="298"/>
      <c r="AA82" s="299"/>
      <c r="AB82" s="298"/>
      <c r="AC82" s="299"/>
      <c r="AD82" s="298"/>
      <c r="AE82" s="299"/>
      <c r="AF82" s="601">
        <f t="shared" si="39"/>
        <v>0</v>
      </c>
      <c r="AG82" s="602">
        <f t="shared" si="40"/>
        <v>0</v>
      </c>
      <c r="AH82" s="603">
        <f t="shared" si="41"/>
        <v>0</v>
      </c>
      <c r="AI82" s="603">
        <f t="shared" si="42"/>
        <v>0</v>
      </c>
      <c r="AJ82" s="298"/>
      <c r="AK82" s="299"/>
      <c r="AL82" s="601">
        <f t="shared" si="43"/>
        <v>0</v>
      </c>
      <c r="AM82" s="604">
        <f t="shared" si="44"/>
        <v>0</v>
      </c>
      <c r="AN82" s="306"/>
      <c r="AO82" s="307"/>
      <c r="AP82" s="298"/>
      <c r="AQ82" s="307"/>
      <c r="AR82" s="298"/>
      <c r="AS82" s="307"/>
      <c r="AT82" s="298"/>
      <c r="AU82" s="307"/>
      <c r="AV82" s="601">
        <f t="shared" si="45"/>
        <v>0</v>
      </c>
      <c r="AW82" s="609">
        <f t="shared" si="46"/>
        <v>0</v>
      </c>
      <c r="AX82" s="603">
        <f t="shared" si="47"/>
        <v>0</v>
      </c>
      <c r="AY82" s="610">
        <f t="shared" si="48"/>
        <v>0</v>
      </c>
      <c r="AZ82" s="611">
        <f t="shared" si="49"/>
        <v>2478.1666666666665</v>
      </c>
      <c r="BA82" s="603">
        <f t="shared" si="50"/>
        <v>2486.4333333333334</v>
      </c>
    </row>
    <row r="83" spans="1:53">
      <c r="A83" s="369" t="s">
        <v>163</v>
      </c>
      <c r="B83" s="370" t="s">
        <v>317</v>
      </c>
      <c r="C83" s="371"/>
      <c r="D83" s="369">
        <v>133951</v>
      </c>
      <c r="E83" s="369">
        <v>1</v>
      </c>
      <c r="F83" s="296" t="s">
        <v>52</v>
      </c>
      <c r="G83" s="297" t="s">
        <v>52</v>
      </c>
      <c r="H83" s="298"/>
      <c r="I83" s="299"/>
      <c r="J83" s="298">
        <v>345363</v>
      </c>
      <c r="K83" s="299">
        <v>374465</v>
      </c>
      <c r="L83" s="298">
        <v>168755</v>
      </c>
      <c r="M83" s="299">
        <v>191233</v>
      </c>
      <c r="N83" s="298">
        <v>383147</v>
      </c>
      <c r="O83" s="299">
        <v>414320</v>
      </c>
      <c r="P83" s="601">
        <f t="shared" si="33"/>
        <v>897265</v>
      </c>
      <c r="Q83" s="602">
        <f t="shared" si="34"/>
        <v>29908.833333333332</v>
      </c>
      <c r="R83" s="603">
        <f t="shared" si="35"/>
        <v>980018</v>
      </c>
      <c r="S83" s="604">
        <f t="shared" si="36"/>
        <v>32667.266666666666</v>
      </c>
      <c r="T83" s="298">
        <v>17394</v>
      </c>
      <c r="U83" s="299">
        <v>25737</v>
      </c>
      <c r="V83" s="601">
        <f t="shared" si="37"/>
        <v>897265</v>
      </c>
      <c r="W83" s="605">
        <f t="shared" si="38"/>
        <v>980018</v>
      </c>
      <c r="X83" s="305"/>
      <c r="Y83" s="299"/>
      <c r="Z83" s="298"/>
      <c r="AA83" s="299"/>
      <c r="AB83" s="298"/>
      <c r="AC83" s="299"/>
      <c r="AD83" s="298"/>
      <c r="AE83" s="299"/>
      <c r="AF83" s="601">
        <f t="shared" si="39"/>
        <v>0</v>
      </c>
      <c r="AG83" s="602">
        <f t="shared" si="40"/>
        <v>0</v>
      </c>
      <c r="AH83" s="603">
        <f t="shared" si="41"/>
        <v>0</v>
      </c>
      <c r="AI83" s="603">
        <f t="shared" si="42"/>
        <v>0</v>
      </c>
      <c r="AJ83" s="298"/>
      <c r="AK83" s="299"/>
      <c r="AL83" s="601">
        <f t="shared" si="43"/>
        <v>0</v>
      </c>
      <c r="AM83" s="604">
        <f t="shared" si="44"/>
        <v>0</v>
      </c>
      <c r="AN83" s="306"/>
      <c r="AO83" s="307"/>
      <c r="AP83" s="298">
        <v>66356</v>
      </c>
      <c r="AQ83" s="307">
        <v>72710</v>
      </c>
      <c r="AR83" s="298">
        <v>38019</v>
      </c>
      <c r="AS83" s="307">
        <v>39887</v>
      </c>
      <c r="AT83" s="298">
        <v>70047</v>
      </c>
      <c r="AU83" s="307">
        <v>75630</v>
      </c>
      <c r="AV83" s="601">
        <f t="shared" si="45"/>
        <v>174422</v>
      </c>
      <c r="AW83" s="609">
        <f t="shared" si="46"/>
        <v>7267.583333333333</v>
      </c>
      <c r="AX83" s="603">
        <f t="shared" si="47"/>
        <v>188227</v>
      </c>
      <c r="AY83" s="610">
        <f t="shared" si="48"/>
        <v>7842.791666666667</v>
      </c>
      <c r="AZ83" s="611">
        <f t="shared" si="49"/>
        <v>37176.416666666664</v>
      </c>
      <c r="BA83" s="603">
        <f t="shared" si="50"/>
        <v>40510.058333333334</v>
      </c>
    </row>
    <row r="84" spans="1:53">
      <c r="A84" s="369" t="s">
        <v>163</v>
      </c>
      <c r="B84" s="371" t="s">
        <v>318</v>
      </c>
      <c r="C84" s="371"/>
      <c r="D84" s="369">
        <v>134097</v>
      </c>
      <c r="E84" s="369">
        <v>1</v>
      </c>
      <c r="F84" s="296" t="s">
        <v>52</v>
      </c>
      <c r="G84" s="297" t="s">
        <v>52</v>
      </c>
      <c r="H84" s="298"/>
      <c r="I84" s="299"/>
      <c r="J84" s="298">
        <v>390453</v>
      </c>
      <c r="K84" s="299">
        <v>399536</v>
      </c>
      <c r="L84" s="298">
        <v>126830</v>
      </c>
      <c r="M84" s="299">
        <v>130933</v>
      </c>
      <c r="N84" s="298">
        <v>455014</v>
      </c>
      <c r="O84" s="299">
        <v>477741</v>
      </c>
      <c r="P84" s="601">
        <f t="shared" si="33"/>
        <v>972297</v>
      </c>
      <c r="Q84" s="602">
        <f t="shared" si="34"/>
        <v>32409.9</v>
      </c>
      <c r="R84" s="603">
        <f t="shared" si="35"/>
        <v>1008210</v>
      </c>
      <c r="S84" s="604">
        <f t="shared" si="36"/>
        <v>33607</v>
      </c>
      <c r="T84" s="298">
        <v>796</v>
      </c>
      <c r="U84" s="299">
        <v>467</v>
      </c>
      <c r="V84" s="601">
        <f t="shared" si="37"/>
        <v>972297</v>
      </c>
      <c r="W84" s="605">
        <f t="shared" si="38"/>
        <v>1008210</v>
      </c>
      <c r="X84" s="305"/>
      <c r="Y84" s="299"/>
      <c r="Z84" s="298"/>
      <c r="AA84" s="299"/>
      <c r="AB84" s="298"/>
      <c r="AC84" s="299"/>
      <c r="AD84" s="298"/>
      <c r="AE84" s="299"/>
      <c r="AF84" s="601">
        <f t="shared" si="39"/>
        <v>0</v>
      </c>
      <c r="AG84" s="602">
        <f t="shared" si="40"/>
        <v>0</v>
      </c>
      <c r="AH84" s="603">
        <f t="shared" si="41"/>
        <v>0</v>
      </c>
      <c r="AI84" s="603">
        <f t="shared" si="42"/>
        <v>0</v>
      </c>
      <c r="AJ84" s="298"/>
      <c r="AK84" s="299"/>
      <c r="AL84" s="601">
        <f t="shared" si="43"/>
        <v>0</v>
      </c>
      <c r="AM84" s="604">
        <f t="shared" si="44"/>
        <v>0</v>
      </c>
      <c r="AN84" s="306"/>
      <c r="AO84" s="307"/>
      <c r="AP84" s="298">
        <v>69955</v>
      </c>
      <c r="AQ84" s="307">
        <v>70882</v>
      </c>
      <c r="AR84" s="298">
        <v>40174</v>
      </c>
      <c r="AS84" s="307">
        <v>39693</v>
      </c>
      <c r="AT84" s="298">
        <v>74007</v>
      </c>
      <c r="AU84" s="307">
        <v>74859</v>
      </c>
      <c r="AV84" s="601">
        <f t="shared" si="45"/>
        <v>184136</v>
      </c>
      <c r="AW84" s="609">
        <f t="shared" si="46"/>
        <v>7672.333333333333</v>
      </c>
      <c r="AX84" s="603">
        <f t="shared" si="47"/>
        <v>185434</v>
      </c>
      <c r="AY84" s="610">
        <f t="shared" si="48"/>
        <v>7726.416666666667</v>
      </c>
      <c r="AZ84" s="611">
        <f t="shared" si="49"/>
        <v>40082.233333333337</v>
      </c>
      <c r="BA84" s="603">
        <f t="shared" si="50"/>
        <v>41333.416666666664</v>
      </c>
    </row>
    <row r="85" spans="1:53">
      <c r="A85" s="369" t="s">
        <v>163</v>
      </c>
      <c r="B85" s="371" t="s">
        <v>319</v>
      </c>
      <c r="C85" s="371"/>
      <c r="D85" s="369">
        <v>132903</v>
      </c>
      <c r="E85" s="369">
        <v>1</v>
      </c>
      <c r="F85" s="296" t="s">
        <v>52</v>
      </c>
      <c r="G85" s="297" t="s">
        <v>52</v>
      </c>
      <c r="H85" s="298"/>
      <c r="I85" s="299"/>
      <c r="J85" s="298">
        <v>526055</v>
      </c>
      <c r="K85" s="299">
        <v>550424</v>
      </c>
      <c r="L85" s="298">
        <v>189272</v>
      </c>
      <c r="M85" s="299">
        <v>203060</v>
      </c>
      <c r="N85" s="298">
        <v>566470</v>
      </c>
      <c r="O85" s="299">
        <v>589882</v>
      </c>
      <c r="P85" s="601">
        <f t="shared" si="33"/>
        <v>1281797</v>
      </c>
      <c r="Q85" s="602">
        <f t="shared" si="34"/>
        <v>42726.566666666666</v>
      </c>
      <c r="R85" s="603">
        <f t="shared" si="35"/>
        <v>1343366</v>
      </c>
      <c r="S85" s="604">
        <f t="shared" si="36"/>
        <v>44778.866666666669</v>
      </c>
      <c r="T85" s="298">
        <v>453</v>
      </c>
      <c r="U85" s="299">
        <v>684</v>
      </c>
      <c r="V85" s="601">
        <f t="shared" si="37"/>
        <v>1281797</v>
      </c>
      <c r="W85" s="605">
        <f t="shared" si="38"/>
        <v>1343366</v>
      </c>
      <c r="X85" s="305"/>
      <c r="Y85" s="299"/>
      <c r="Z85" s="298"/>
      <c r="AA85" s="299"/>
      <c r="AB85" s="298"/>
      <c r="AC85" s="299"/>
      <c r="AD85" s="298"/>
      <c r="AE85" s="299"/>
      <c r="AF85" s="601">
        <f t="shared" si="39"/>
        <v>0</v>
      </c>
      <c r="AG85" s="602">
        <f t="shared" si="40"/>
        <v>0</v>
      </c>
      <c r="AH85" s="603">
        <f t="shared" si="41"/>
        <v>0</v>
      </c>
      <c r="AI85" s="603">
        <f t="shared" si="42"/>
        <v>0</v>
      </c>
      <c r="AJ85" s="298"/>
      <c r="AK85" s="299"/>
      <c r="AL85" s="601">
        <f t="shared" si="43"/>
        <v>0</v>
      </c>
      <c r="AM85" s="604">
        <f t="shared" si="44"/>
        <v>0</v>
      </c>
      <c r="AN85" s="306"/>
      <c r="AO85" s="307"/>
      <c r="AP85" s="298">
        <v>53571</v>
      </c>
      <c r="AQ85" s="307">
        <v>56071</v>
      </c>
      <c r="AR85" s="298">
        <v>28816</v>
      </c>
      <c r="AS85" s="307">
        <v>29048</v>
      </c>
      <c r="AT85" s="298">
        <v>58063</v>
      </c>
      <c r="AU85" s="307">
        <v>57339</v>
      </c>
      <c r="AV85" s="601">
        <f t="shared" si="45"/>
        <v>140450</v>
      </c>
      <c r="AW85" s="609">
        <f t="shared" si="46"/>
        <v>5852.083333333333</v>
      </c>
      <c r="AX85" s="603">
        <f t="shared" si="47"/>
        <v>142458</v>
      </c>
      <c r="AY85" s="610">
        <f t="shared" si="48"/>
        <v>5935.75</v>
      </c>
      <c r="AZ85" s="611">
        <f t="shared" si="49"/>
        <v>48578.65</v>
      </c>
      <c r="BA85" s="603">
        <f t="shared" si="50"/>
        <v>50714.616666666669</v>
      </c>
    </row>
    <row r="86" spans="1:53">
      <c r="A86" s="369" t="s">
        <v>163</v>
      </c>
      <c r="B86" s="371" t="s">
        <v>320</v>
      </c>
      <c r="C86" s="371"/>
      <c r="D86" s="369">
        <v>134130</v>
      </c>
      <c r="E86" s="369">
        <v>1</v>
      </c>
      <c r="F86" s="296" t="s">
        <v>52</v>
      </c>
      <c r="G86" s="297" t="s">
        <v>52</v>
      </c>
      <c r="H86" s="298"/>
      <c r="I86" s="299"/>
      <c r="J86" s="298">
        <v>424799</v>
      </c>
      <c r="K86" s="299">
        <v>420487</v>
      </c>
      <c r="L86" s="298">
        <v>120231</v>
      </c>
      <c r="M86" s="299">
        <v>117007</v>
      </c>
      <c r="N86" s="298">
        <v>438525</v>
      </c>
      <c r="O86" s="299">
        <v>436376</v>
      </c>
      <c r="P86" s="601">
        <f t="shared" si="33"/>
        <v>983555</v>
      </c>
      <c r="Q86" s="602">
        <f t="shared" si="34"/>
        <v>32785.166666666664</v>
      </c>
      <c r="R86" s="603">
        <f t="shared" si="35"/>
        <v>973870</v>
      </c>
      <c r="S86" s="604">
        <f t="shared" si="36"/>
        <v>32462.333333333332</v>
      </c>
      <c r="T86" s="298">
        <v>1093</v>
      </c>
      <c r="U86" s="299">
        <v>1306</v>
      </c>
      <c r="V86" s="601">
        <f t="shared" si="37"/>
        <v>983555</v>
      </c>
      <c r="W86" s="605">
        <f t="shared" si="38"/>
        <v>973870</v>
      </c>
      <c r="X86" s="305"/>
      <c r="Y86" s="299"/>
      <c r="Z86" s="298"/>
      <c r="AA86" s="299"/>
      <c r="AB86" s="298"/>
      <c r="AC86" s="299"/>
      <c r="AD86" s="298"/>
      <c r="AE86" s="299"/>
      <c r="AF86" s="601">
        <f t="shared" si="39"/>
        <v>0</v>
      </c>
      <c r="AG86" s="602">
        <f t="shared" si="40"/>
        <v>0</v>
      </c>
      <c r="AH86" s="603">
        <f t="shared" si="41"/>
        <v>0</v>
      </c>
      <c r="AI86" s="603">
        <f t="shared" si="42"/>
        <v>0</v>
      </c>
      <c r="AJ86" s="298"/>
      <c r="AK86" s="299"/>
      <c r="AL86" s="601">
        <f t="shared" si="43"/>
        <v>0</v>
      </c>
      <c r="AM86" s="604">
        <f t="shared" si="44"/>
        <v>0</v>
      </c>
      <c r="AN86" s="306"/>
      <c r="AO86" s="307"/>
      <c r="AP86" s="298">
        <v>142301</v>
      </c>
      <c r="AQ86" s="307">
        <v>143499</v>
      </c>
      <c r="AR86" s="298">
        <v>62388</v>
      </c>
      <c r="AS86" s="307">
        <v>60534</v>
      </c>
      <c r="AT86" s="298">
        <v>152781</v>
      </c>
      <c r="AU86" s="307">
        <v>149877</v>
      </c>
      <c r="AV86" s="601">
        <f t="shared" si="45"/>
        <v>357470</v>
      </c>
      <c r="AW86" s="609">
        <f t="shared" si="46"/>
        <v>14894.583333333334</v>
      </c>
      <c r="AX86" s="603">
        <f t="shared" si="47"/>
        <v>353910</v>
      </c>
      <c r="AY86" s="610">
        <f t="shared" si="48"/>
        <v>14746.25</v>
      </c>
      <c r="AZ86" s="611">
        <f t="shared" si="49"/>
        <v>47679.75</v>
      </c>
      <c r="BA86" s="603">
        <f t="shared" si="50"/>
        <v>47208.583333333328</v>
      </c>
    </row>
    <row r="87" spans="1:53">
      <c r="A87" s="369" t="s">
        <v>163</v>
      </c>
      <c r="B87" s="371" t="s">
        <v>321</v>
      </c>
      <c r="C87" s="371"/>
      <c r="D87" s="369">
        <v>137351</v>
      </c>
      <c r="E87" s="369">
        <v>1</v>
      </c>
      <c r="F87" s="296" t="s">
        <v>52</v>
      </c>
      <c r="G87" s="297" t="s">
        <v>52</v>
      </c>
      <c r="H87" s="298"/>
      <c r="I87" s="299"/>
      <c r="J87" s="298">
        <v>407800</v>
      </c>
      <c r="K87" s="299">
        <v>416310</v>
      </c>
      <c r="L87" s="298">
        <v>159800</v>
      </c>
      <c r="M87" s="299">
        <v>157950</v>
      </c>
      <c r="N87" s="298">
        <v>444053</v>
      </c>
      <c r="O87" s="299">
        <v>443707</v>
      </c>
      <c r="P87" s="601">
        <f t="shared" si="33"/>
        <v>1011653</v>
      </c>
      <c r="Q87" s="602">
        <f t="shared" si="34"/>
        <v>33721.76666666667</v>
      </c>
      <c r="R87" s="603">
        <f t="shared" si="35"/>
        <v>1017967</v>
      </c>
      <c r="S87" s="604">
        <f t="shared" si="36"/>
        <v>33932.23333333333</v>
      </c>
      <c r="T87" s="298">
        <v>814</v>
      </c>
      <c r="U87" s="299">
        <v>657</v>
      </c>
      <c r="V87" s="601">
        <f t="shared" si="37"/>
        <v>1011653</v>
      </c>
      <c r="W87" s="605">
        <f t="shared" si="38"/>
        <v>1017967</v>
      </c>
      <c r="X87" s="305"/>
      <c r="Y87" s="299"/>
      <c r="Z87" s="298"/>
      <c r="AA87" s="299"/>
      <c r="AB87" s="298"/>
      <c r="AC87" s="299"/>
      <c r="AD87" s="298"/>
      <c r="AE87" s="299"/>
      <c r="AF87" s="601">
        <f t="shared" si="39"/>
        <v>0</v>
      </c>
      <c r="AG87" s="602">
        <f t="shared" si="40"/>
        <v>0</v>
      </c>
      <c r="AH87" s="603">
        <f t="shared" si="41"/>
        <v>0</v>
      </c>
      <c r="AI87" s="603">
        <f t="shared" si="42"/>
        <v>0</v>
      </c>
      <c r="AJ87" s="298"/>
      <c r="AK87" s="299"/>
      <c r="AL87" s="601">
        <f t="shared" si="43"/>
        <v>0</v>
      </c>
      <c r="AM87" s="604">
        <f t="shared" si="44"/>
        <v>0</v>
      </c>
      <c r="AN87" s="306"/>
      <c r="AO87" s="307"/>
      <c r="AP87" s="298">
        <v>73647</v>
      </c>
      <c r="AQ87" s="307">
        <v>71983</v>
      </c>
      <c r="AR87" s="298">
        <v>38827</v>
      </c>
      <c r="AS87" s="307">
        <v>37175</v>
      </c>
      <c r="AT87" s="298">
        <v>76390</v>
      </c>
      <c r="AU87" s="307">
        <v>76736</v>
      </c>
      <c r="AV87" s="601">
        <f t="shared" si="45"/>
        <v>188864</v>
      </c>
      <c r="AW87" s="609">
        <f t="shared" si="46"/>
        <v>7869.333333333333</v>
      </c>
      <c r="AX87" s="603">
        <f t="shared" si="47"/>
        <v>185894</v>
      </c>
      <c r="AY87" s="610">
        <f t="shared" si="48"/>
        <v>7745.583333333333</v>
      </c>
      <c r="AZ87" s="611">
        <f t="shared" si="49"/>
        <v>41591.100000000006</v>
      </c>
      <c r="BA87" s="603">
        <f t="shared" si="50"/>
        <v>41677.816666666666</v>
      </c>
    </row>
    <row r="88" spans="1:53">
      <c r="A88" s="369" t="s">
        <v>163</v>
      </c>
      <c r="B88" s="371" t="s">
        <v>322</v>
      </c>
      <c r="C88" s="371"/>
      <c r="D88" s="369">
        <v>133669</v>
      </c>
      <c r="E88" s="369">
        <v>2</v>
      </c>
      <c r="F88" s="296" t="s">
        <v>52</v>
      </c>
      <c r="G88" s="297" t="s">
        <v>52</v>
      </c>
      <c r="H88" s="298"/>
      <c r="I88" s="299"/>
      <c r="J88" s="298">
        <v>228080</v>
      </c>
      <c r="K88" s="299">
        <v>236722</v>
      </c>
      <c r="L88" s="298">
        <v>90787</v>
      </c>
      <c r="M88" s="299">
        <v>96196</v>
      </c>
      <c r="N88" s="298">
        <v>251368</v>
      </c>
      <c r="O88" s="299">
        <v>266759</v>
      </c>
      <c r="P88" s="601">
        <f t="shared" si="33"/>
        <v>570235</v>
      </c>
      <c r="Q88" s="602">
        <f t="shared" si="34"/>
        <v>19007.833333333332</v>
      </c>
      <c r="R88" s="603">
        <f t="shared" si="35"/>
        <v>599677</v>
      </c>
      <c r="S88" s="604">
        <f t="shared" si="36"/>
        <v>19989.233333333334</v>
      </c>
      <c r="T88" s="298">
        <v>5294</v>
      </c>
      <c r="U88" s="299">
        <v>6185</v>
      </c>
      <c r="V88" s="601">
        <f t="shared" si="37"/>
        <v>570235</v>
      </c>
      <c r="W88" s="605">
        <f t="shared" si="38"/>
        <v>599677</v>
      </c>
      <c r="X88" s="305"/>
      <c r="Y88" s="299"/>
      <c r="Z88" s="298"/>
      <c r="AA88" s="299"/>
      <c r="AB88" s="298"/>
      <c r="AC88" s="299"/>
      <c r="AD88" s="298"/>
      <c r="AE88" s="299"/>
      <c r="AF88" s="601">
        <f t="shared" si="39"/>
        <v>0</v>
      </c>
      <c r="AG88" s="602">
        <f t="shared" si="40"/>
        <v>0</v>
      </c>
      <c r="AH88" s="603">
        <f t="shared" si="41"/>
        <v>0</v>
      </c>
      <c r="AI88" s="603">
        <f t="shared" si="42"/>
        <v>0</v>
      </c>
      <c r="AJ88" s="298"/>
      <c r="AK88" s="299"/>
      <c r="AL88" s="601">
        <f t="shared" si="43"/>
        <v>0</v>
      </c>
      <c r="AM88" s="604">
        <f t="shared" si="44"/>
        <v>0</v>
      </c>
      <c r="AN88" s="306"/>
      <c r="AO88" s="307"/>
      <c r="AP88" s="298">
        <v>30735</v>
      </c>
      <c r="AQ88" s="307">
        <v>30766</v>
      </c>
      <c r="AR88" s="298">
        <v>18750</v>
      </c>
      <c r="AS88" s="307">
        <v>17396</v>
      </c>
      <c r="AT88" s="298">
        <v>31334</v>
      </c>
      <c r="AU88" s="307">
        <v>30396</v>
      </c>
      <c r="AV88" s="601">
        <f t="shared" si="45"/>
        <v>80819</v>
      </c>
      <c r="AW88" s="609">
        <f t="shared" si="46"/>
        <v>3367.4583333333335</v>
      </c>
      <c r="AX88" s="603">
        <f t="shared" si="47"/>
        <v>78558</v>
      </c>
      <c r="AY88" s="610">
        <f t="shared" si="48"/>
        <v>3273.25</v>
      </c>
      <c r="AZ88" s="611">
        <f t="shared" si="49"/>
        <v>22375.291666666664</v>
      </c>
      <c r="BA88" s="603">
        <f t="shared" si="50"/>
        <v>23262.483333333334</v>
      </c>
    </row>
    <row r="89" spans="1:53">
      <c r="A89" s="369" t="s">
        <v>163</v>
      </c>
      <c r="B89" s="371" t="s">
        <v>323</v>
      </c>
      <c r="C89" s="418" t="s">
        <v>446</v>
      </c>
      <c r="D89" s="369">
        <v>133650</v>
      </c>
      <c r="E89" s="369">
        <v>3</v>
      </c>
      <c r="F89" s="296" t="s">
        <v>52</v>
      </c>
      <c r="G89" s="297" t="s">
        <v>52</v>
      </c>
      <c r="H89" s="298"/>
      <c r="I89" s="299"/>
      <c r="J89" s="298">
        <v>130521</v>
      </c>
      <c r="K89" s="299">
        <v>143196</v>
      </c>
      <c r="L89" s="298">
        <v>40916</v>
      </c>
      <c r="M89" s="299">
        <v>29446</v>
      </c>
      <c r="N89" s="298">
        <v>154324</v>
      </c>
      <c r="O89" s="299">
        <v>151544</v>
      </c>
      <c r="P89" s="601">
        <f t="shared" si="33"/>
        <v>325761</v>
      </c>
      <c r="Q89" s="602">
        <f t="shared" si="34"/>
        <v>10858.7</v>
      </c>
      <c r="R89" s="603">
        <f t="shared" si="35"/>
        <v>324186</v>
      </c>
      <c r="S89" s="604">
        <f t="shared" si="36"/>
        <v>10806.2</v>
      </c>
      <c r="T89" s="298">
        <v>262</v>
      </c>
      <c r="U89" s="299">
        <v>139</v>
      </c>
      <c r="V89" s="601">
        <f t="shared" si="37"/>
        <v>325761</v>
      </c>
      <c r="W89" s="605">
        <f t="shared" si="38"/>
        <v>324186</v>
      </c>
      <c r="X89" s="305"/>
      <c r="Y89" s="299"/>
      <c r="Z89" s="298"/>
      <c r="AA89" s="299"/>
      <c r="AB89" s="298"/>
      <c r="AC89" s="299"/>
      <c r="AD89" s="298"/>
      <c r="AE89" s="299"/>
      <c r="AF89" s="601">
        <f t="shared" si="39"/>
        <v>0</v>
      </c>
      <c r="AG89" s="602">
        <f t="shared" si="40"/>
        <v>0</v>
      </c>
      <c r="AH89" s="603">
        <f t="shared" si="41"/>
        <v>0</v>
      </c>
      <c r="AI89" s="603">
        <f t="shared" si="42"/>
        <v>0</v>
      </c>
      <c r="AJ89" s="298"/>
      <c r="AK89" s="299"/>
      <c r="AL89" s="601">
        <f t="shared" si="43"/>
        <v>0</v>
      </c>
      <c r="AM89" s="604">
        <f t="shared" si="44"/>
        <v>0</v>
      </c>
      <c r="AN89" s="306"/>
      <c r="AO89" s="307"/>
      <c r="AP89" s="298">
        <v>20971</v>
      </c>
      <c r="AQ89" s="307">
        <v>20888</v>
      </c>
      <c r="AR89" s="298">
        <v>7198</v>
      </c>
      <c r="AS89" s="307">
        <v>6725</v>
      </c>
      <c r="AT89" s="298">
        <v>21574</v>
      </c>
      <c r="AU89" s="307">
        <v>22547</v>
      </c>
      <c r="AV89" s="601">
        <f t="shared" si="45"/>
        <v>49743</v>
      </c>
      <c r="AW89" s="609">
        <f t="shared" si="46"/>
        <v>2072.625</v>
      </c>
      <c r="AX89" s="603">
        <f t="shared" si="47"/>
        <v>50160</v>
      </c>
      <c r="AY89" s="610">
        <f t="shared" si="48"/>
        <v>2090</v>
      </c>
      <c r="AZ89" s="611">
        <f t="shared" si="49"/>
        <v>12931.325000000001</v>
      </c>
      <c r="BA89" s="603">
        <f t="shared" si="50"/>
        <v>12896.2</v>
      </c>
    </row>
    <row r="90" spans="1:53">
      <c r="A90" s="369" t="s">
        <v>163</v>
      </c>
      <c r="B90" s="371" t="s">
        <v>324</v>
      </c>
      <c r="C90" s="371"/>
      <c r="D90" s="369">
        <v>136172</v>
      </c>
      <c r="E90" s="369">
        <v>3</v>
      </c>
      <c r="F90" s="296" t="s">
        <v>52</v>
      </c>
      <c r="G90" s="297" t="s">
        <v>52</v>
      </c>
      <c r="H90" s="298"/>
      <c r="I90" s="299"/>
      <c r="J90" s="298">
        <v>155633</v>
      </c>
      <c r="K90" s="299">
        <v>156495</v>
      </c>
      <c r="L90" s="298">
        <v>56640</v>
      </c>
      <c r="M90" s="299">
        <v>57248</v>
      </c>
      <c r="N90" s="298">
        <v>167587</v>
      </c>
      <c r="O90" s="299">
        <v>168733</v>
      </c>
      <c r="P90" s="601">
        <f t="shared" si="33"/>
        <v>379860</v>
      </c>
      <c r="Q90" s="602">
        <f t="shared" si="34"/>
        <v>12662</v>
      </c>
      <c r="R90" s="603">
        <f t="shared" si="35"/>
        <v>382476</v>
      </c>
      <c r="S90" s="604">
        <f t="shared" si="36"/>
        <v>12749.2</v>
      </c>
      <c r="T90" s="298">
        <v>440</v>
      </c>
      <c r="U90" s="299">
        <v>825</v>
      </c>
      <c r="V90" s="601">
        <f t="shared" si="37"/>
        <v>379860</v>
      </c>
      <c r="W90" s="605">
        <f t="shared" si="38"/>
        <v>382476</v>
      </c>
      <c r="X90" s="305"/>
      <c r="Y90" s="299"/>
      <c r="Z90" s="298"/>
      <c r="AA90" s="299"/>
      <c r="AB90" s="298"/>
      <c r="AC90" s="299"/>
      <c r="AD90" s="298"/>
      <c r="AE90" s="299"/>
      <c r="AF90" s="601">
        <f t="shared" si="39"/>
        <v>0</v>
      </c>
      <c r="AG90" s="602">
        <f t="shared" si="40"/>
        <v>0</v>
      </c>
      <c r="AH90" s="603">
        <f t="shared" si="41"/>
        <v>0</v>
      </c>
      <c r="AI90" s="603">
        <f t="shared" si="42"/>
        <v>0</v>
      </c>
      <c r="AJ90" s="298"/>
      <c r="AK90" s="299"/>
      <c r="AL90" s="601">
        <f t="shared" si="43"/>
        <v>0</v>
      </c>
      <c r="AM90" s="604">
        <f t="shared" si="44"/>
        <v>0</v>
      </c>
      <c r="AN90" s="306"/>
      <c r="AO90" s="307"/>
      <c r="AP90" s="298">
        <v>12437</v>
      </c>
      <c r="AQ90" s="307">
        <v>12422</v>
      </c>
      <c r="AR90" s="298">
        <v>7053</v>
      </c>
      <c r="AS90" s="307">
        <v>6947</v>
      </c>
      <c r="AT90" s="298">
        <v>13525</v>
      </c>
      <c r="AU90" s="307">
        <v>13175</v>
      </c>
      <c r="AV90" s="601">
        <f t="shared" si="45"/>
        <v>33015</v>
      </c>
      <c r="AW90" s="609">
        <f t="shared" si="46"/>
        <v>1375.625</v>
      </c>
      <c r="AX90" s="603">
        <f t="shared" si="47"/>
        <v>32544</v>
      </c>
      <c r="AY90" s="610">
        <f t="shared" si="48"/>
        <v>1356</v>
      </c>
      <c r="AZ90" s="611">
        <f t="shared" si="49"/>
        <v>14037.625</v>
      </c>
      <c r="BA90" s="603">
        <f t="shared" si="50"/>
        <v>14105.2</v>
      </c>
    </row>
    <row r="91" spans="1:53">
      <c r="A91" s="369" t="s">
        <v>163</v>
      </c>
      <c r="B91" s="371" t="s">
        <v>325</v>
      </c>
      <c r="C91" s="371"/>
      <c r="D91" s="369">
        <v>138354</v>
      </c>
      <c r="E91" s="369">
        <v>3</v>
      </c>
      <c r="F91" s="296" t="s">
        <v>52</v>
      </c>
      <c r="G91" s="297" t="s">
        <v>52</v>
      </c>
      <c r="H91" s="298"/>
      <c r="I91" s="299"/>
      <c r="J91" s="298">
        <v>99923</v>
      </c>
      <c r="K91" s="299">
        <v>103175</v>
      </c>
      <c r="L91" s="298">
        <v>39168</v>
      </c>
      <c r="M91" s="299">
        <v>40268</v>
      </c>
      <c r="N91" s="298">
        <v>108851</v>
      </c>
      <c r="O91" s="299">
        <v>112277</v>
      </c>
      <c r="P91" s="601">
        <f t="shared" si="33"/>
        <v>247942</v>
      </c>
      <c r="Q91" s="602">
        <f t="shared" si="34"/>
        <v>8264.7333333333336</v>
      </c>
      <c r="R91" s="603">
        <f t="shared" si="35"/>
        <v>255720</v>
      </c>
      <c r="S91" s="604">
        <f t="shared" si="36"/>
        <v>8524</v>
      </c>
      <c r="T91" s="298">
        <v>505</v>
      </c>
      <c r="U91" s="299">
        <v>585</v>
      </c>
      <c r="V91" s="601">
        <f t="shared" si="37"/>
        <v>247942</v>
      </c>
      <c r="W91" s="605">
        <f t="shared" si="38"/>
        <v>255720</v>
      </c>
      <c r="X91" s="305"/>
      <c r="Y91" s="299"/>
      <c r="Z91" s="298"/>
      <c r="AA91" s="299"/>
      <c r="AB91" s="298"/>
      <c r="AC91" s="299"/>
      <c r="AD91" s="298"/>
      <c r="AE91" s="299"/>
      <c r="AF91" s="601">
        <f t="shared" si="39"/>
        <v>0</v>
      </c>
      <c r="AG91" s="602">
        <f t="shared" si="40"/>
        <v>0</v>
      </c>
      <c r="AH91" s="603">
        <f t="shared" si="41"/>
        <v>0</v>
      </c>
      <c r="AI91" s="603">
        <f t="shared" si="42"/>
        <v>0</v>
      </c>
      <c r="AJ91" s="298"/>
      <c r="AK91" s="299"/>
      <c r="AL91" s="601">
        <f t="shared" si="43"/>
        <v>0</v>
      </c>
      <c r="AM91" s="604">
        <f t="shared" si="44"/>
        <v>0</v>
      </c>
      <c r="AN91" s="306"/>
      <c r="AO91" s="307"/>
      <c r="AP91" s="298">
        <v>10719</v>
      </c>
      <c r="AQ91" s="307">
        <v>11396</v>
      </c>
      <c r="AR91" s="298">
        <v>8789</v>
      </c>
      <c r="AS91" s="307">
        <v>8434</v>
      </c>
      <c r="AT91" s="298">
        <v>11976</v>
      </c>
      <c r="AU91" s="307">
        <v>12054</v>
      </c>
      <c r="AV91" s="601">
        <f t="shared" si="45"/>
        <v>31484</v>
      </c>
      <c r="AW91" s="609">
        <f t="shared" si="46"/>
        <v>1311.8333333333333</v>
      </c>
      <c r="AX91" s="603">
        <f t="shared" si="47"/>
        <v>31884</v>
      </c>
      <c r="AY91" s="610">
        <f t="shared" si="48"/>
        <v>1328.5</v>
      </c>
      <c r="AZ91" s="611">
        <f t="shared" si="49"/>
        <v>9576.5666666666675</v>
      </c>
      <c r="BA91" s="603">
        <f t="shared" si="50"/>
        <v>9852.5</v>
      </c>
    </row>
    <row r="92" spans="1:53">
      <c r="A92" s="369" t="s">
        <v>163</v>
      </c>
      <c r="B92" s="371" t="s">
        <v>326</v>
      </c>
      <c r="C92" s="371"/>
      <c r="D92" s="369">
        <v>433660</v>
      </c>
      <c r="E92" s="369">
        <v>4</v>
      </c>
      <c r="F92" s="296" t="s">
        <v>52</v>
      </c>
      <c r="G92" s="297" t="s">
        <v>52</v>
      </c>
      <c r="H92" s="298"/>
      <c r="I92" s="299"/>
      <c r="J92" s="298">
        <v>111465</v>
      </c>
      <c r="K92" s="299">
        <v>119973</v>
      </c>
      <c r="L92" s="298">
        <v>27917</v>
      </c>
      <c r="M92" s="299">
        <v>30408</v>
      </c>
      <c r="N92" s="298">
        <v>129441</v>
      </c>
      <c r="O92" s="299">
        <v>138182</v>
      </c>
      <c r="P92" s="601">
        <f t="shared" si="33"/>
        <v>268823</v>
      </c>
      <c r="Q92" s="602">
        <f t="shared" si="34"/>
        <v>8960.7666666666664</v>
      </c>
      <c r="R92" s="603">
        <f t="shared" si="35"/>
        <v>288563</v>
      </c>
      <c r="S92" s="604">
        <f t="shared" si="36"/>
        <v>9618.7666666666664</v>
      </c>
      <c r="T92" s="298">
        <v>2161</v>
      </c>
      <c r="U92" s="299">
        <v>2373</v>
      </c>
      <c r="V92" s="601">
        <f t="shared" si="37"/>
        <v>268823</v>
      </c>
      <c r="W92" s="605">
        <f t="shared" si="38"/>
        <v>288563</v>
      </c>
      <c r="X92" s="305"/>
      <c r="Y92" s="299"/>
      <c r="Z92" s="298"/>
      <c r="AA92" s="299"/>
      <c r="AB92" s="298"/>
      <c r="AC92" s="299"/>
      <c r="AD92" s="298"/>
      <c r="AE92" s="299"/>
      <c r="AF92" s="601">
        <f t="shared" si="39"/>
        <v>0</v>
      </c>
      <c r="AG92" s="602">
        <f t="shared" si="40"/>
        <v>0</v>
      </c>
      <c r="AH92" s="603">
        <f t="shared" si="41"/>
        <v>0</v>
      </c>
      <c r="AI92" s="603">
        <f t="shared" si="42"/>
        <v>0</v>
      </c>
      <c r="AJ92" s="298"/>
      <c r="AK92" s="299"/>
      <c r="AL92" s="601">
        <f t="shared" si="43"/>
        <v>0</v>
      </c>
      <c r="AM92" s="604">
        <f t="shared" si="44"/>
        <v>0</v>
      </c>
      <c r="AN92" s="306"/>
      <c r="AO92" s="307"/>
      <c r="AP92" s="298">
        <v>9057</v>
      </c>
      <c r="AQ92" s="307">
        <v>9588</v>
      </c>
      <c r="AR92" s="298">
        <v>5328</v>
      </c>
      <c r="AS92" s="307">
        <v>4999</v>
      </c>
      <c r="AT92" s="298">
        <v>9693</v>
      </c>
      <c r="AU92" s="307">
        <v>9376</v>
      </c>
      <c r="AV92" s="601">
        <f t="shared" si="45"/>
        <v>24078</v>
      </c>
      <c r="AW92" s="609">
        <f t="shared" si="46"/>
        <v>1003.25</v>
      </c>
      <c r="AX92" s="603">
        <f t="shared" si="47"/>
        <v>23963</v>
      </c>
      <c r="AY92" s="610">
        <f t="shared" si="48"/>
        <v>998.45833333333337</v>
      </c>
      <c r="AZ92" s="611">
        <f t="shared" si="49"/>
        <v>9964.0166666666664</v>
      </c>
      <c r="BA92" s="603">
        <f t="shared" si="50"/>
        <v>10617.225</v>
      </c>
    </row>
    <row r="93" spans="1:53">
      <c r="A93" s="369" t="s">
        <v>163</v>
      </c>
      <c r="B93" s="371" t="s">
        <v>327</v>
      </c>
      <c r="C93" s="371"/>
      <c r="D93" s="369">
        <v>262129</v>
      </c>
      <c r="E93" s="369">
        <v>6</v>
      </c>
      <c r="F93" s="296" t="s">
        <v>52</v>
      </c>
      <c r="G93" s="297" t="s">
        <v>52</v>
      </c>
      <c r="H93" s="298"/>
      <c r="I93" s="299"/>
      <c r="J93" s="298">
        <v>12324</v>
      </c>
      <c r="K93" s="299">
        <v>12144</v>
      </c>
      <c r="L93" s="298"/>
      <c r="M93" s="299"/>
      <c r="N93" s="298">
        <v>15356</v>
      </c>
      <c r="O93" s="299">
        <v>16064</v>
      </c>
      <c r="P93" s="601">
        <f t="shared" si="33"/>
        <v>27680</v>
      </c>
      <c r="Q93" s="602">
        <f t="shared" si="34"/>
        <v>922.66666666666663</v>
      </c>
      <c r="R93" s="603">
        <f t="shared" si="35"/>
        <v>28208</v>
      </c>
      <c r="S93" s="604">
        <f t="shared" si="36"/>
        <v>940.26666666666665</v>
      </c>
      <c r="T93" s="298">
        <v>32</v>
      </c>
      <c r="U93" s="299"/>
      <c r="V93" s="601">
        <f t="shared" si="37"/>
        <v>27680</v>
      </c>
      <c r="W93" s="605">
        <f t="shared" si="38"/>
        <v>0</v>
      </c>
      <c r="X93" s="305"/>
      <c r="Y93" s="299"/>
      <c r="Z93" s="298"/>
      <c r="AA93" s="299"/>
      <c r="AB93" s="298"/>
      <c r="AC93" s="299"/>
      <c r="AD93" s="298"/>
      <c r="AE93" s="299"/>
      <c r="AF93" s="601">
        <f t="shared" si="39"/>
        <v>0</v>
      </c>
      <c r="AG93" s="602">
        <f t="shared" si="40"/>
        <v>0</v>
      </c>
      <c r="AH93" s="603">
        <f t="shared" si="41"/>
        <v>0</v>
      </c>
      <c r="AI93" s="603">
        <f t="shared" si="42"/>
        <v>0</v>
      </c>
      <c r="AJ93" s="298"/>
      <c r="AK93" s="299"/>
      <c r="AL93" s="601">
        <f t="shared" si="43"/>
        <v>0</v>
      </c>
      <c r="AM93" s="604">
        <f t="shared" si="44"/>
        <v>0</v>
      </c>
      <c r="AN93" s="306"/>
      <c r="AO93" s="307"/>
      <c r="AP93" s="298"/>
      <c r="AQ93" s="307"/>
      <c r="AR93" s="298"/>
      <c r="AS93" s="307"/>
      <c r="AT93" s="298"/>
      <c r="AU93" s="307"/>
      <c r="AV93" s="601">
        <f t="shared" si="45"/>
        <v>0</v>
      </c>
      <c r="AW93" s="609">
        <f t="shared" si="46"/>
        <v>0</v>
      </c>
      <c r="AX93" s="603">
        <f t="shared" si="47"/>
        <v>0</v>
      </c>
      <c r="AY93" s="610">
        <f t="shared" si="48"/>
        <v>0</v>
      </c>
      <c r="AZ93" s="611">
        <f t="shared" si="49"/>
        <v>922.66666666666663</v>
      </c>
      <c r="BA93" s="603">
        <f t="shared" si="50"/>
        <v>940.26666666666665</v>
      </c>
    </row>
    <row r="94" spans="1:53">
      <c r="A94" s="612" t="s">
        <v>163</v>
      </c>
      <c r="B94" s="613" t="s">
        <v>977</v>
      </c>
      <c r="C94" s="615"/>
      <c r="D94" s="612">
        <v>133021</v>
      </c>
      <c r="E94" s="619">
        <v>7</v>
      </c>
      <c r="F94" s="597" t="s">
        <v>52</v>
      </c>
      <c r="G94" s="598" t="s">
        <v>52</v>
      </c>
      <c r="H94" s="599"/>
      <c r="I94" s="600"/>
      <c r="J94" s="599">
        <v>19621</v>
      </c>
      <c r="K94" s="600">
        <v>19257</v>
      </c>
      <c r="L94" s="599">
        <v>5774</v>
      </c>
      <c r="M94" s="600">
        <v>5980</v>
      </c>
      <c r="N94" s="599">
        <v>20823</v>
      </c>
      <c r="O94" s="600">
        <v>20842</v>
      </c>
      <c r="P94" s="601">
        <f t="shared" si="33"/>
        <v>46218</v>
      </c>
      <c r="Q94" s="602">
        <f t="shared" si="34"/>
        <v>1540.6</v>
      </c>
      <c r="R94" s="603">
        <f t="shared" si="35"/>
        <v>46079</v>
      </c>
      <c r="S94" s="604">
        <f t="shared" si="36"/>
        <v>1535.9666666666667</v>
      </c>
      <c r="T94" s="599">
        <v>4314</v>
      </c>
      <c r="U94" s="600">
        <v>4503</v>
      </c>
      <c r="V94" s="601">
        <f t="shared" si="37"/>
        <v>46218</v>
      </c>
      <c r="W94" s="605">
        <f t="shared" si="38"/>
        <v>46079</v>
      </c>
      <c r="X94" s="606"/>
      <c r="Y94" s="600"/>
      <c r="Z94" s="599">
        <v>76667</v>
      </c>
      <c r="AA94" s="600">
        <v>49087</v>
      </c>
      <c r="AB94" s="599">
        <v>26187</v>
      </c>
      <c r="AC94" s="600">
        <v>16451</v>
      </c>
      <c r="AD94" s="599">
        <v>50006</v>
      </c>
      <c r="AE94" s="600">
        <v>46361</v>
      </c>
      <c r="AF94" s="601">
        <f t="shared" si="39"/>
        <v>152860</v>
      </c>
      <c r="AG94" s="602">
        <f t="shared" si="40"/>
        <v>169.84444444444443</v>
      </c>
      <c r="AH94" s="603">
        <f t="shared" si="41"/>
        <v>111899</v>
      </c>
      <c r="AI94" s="603">
        <f t="shared" si="42"/>
        <v>124.33222222222223</v>
      </c>
      <c r="AJ94" s="599">
        <v>5098</v>
      </c>
      <c r="AK94" s="600">
        <v>2730</v>
      </c>
      <c r="AL94" s="601">
        <f t="shared" si="43"/>
        <v>152860</v>
      </c>
      <c r="AM94" s="604">
        <f t="shared" si="44"/>
        <v>111899</v>
      </c>
      <c r="AN94" s="607"/>
      <c r="AO94" s="608"/>
      <c r="AP94" s="599"/>
      <c r="AQ94" s="608"/>
      <c r="AR94" s="599"/>
      <c r="AS94" s="608"/>
      <c r="AT94" s="599"/>
      <c r="AU94" s="608"/>
      <c r="AV94" s="601">
        <f t="shared" si="45"/>
        <v>0</v>
      </c>
      <c r="AW94" s="609">
        <f t="shared" si="46"/>
        <v>0</v>
      </c>
      <c r="AX94" s="603">
        <f t="shared" si="47"/>
        <v>0</v>
      </c>
      <c r="AY94" s="610">
        <f t="shared" si="48"/>
        <v>0</v>
      </c>
      <c r="AZ94" s="611">
        <f t="shared" si="49"/>
        <v>1710.4444444444443</v>
      </c>
      <c r="BA94" s="603">
        <f t="shared" si="50"/>
        <v>1660.298888888889</v>
      </c>
    </row>
    <row r="95" spans="1:53">
      <c r="A95" s="612" t="s">
        <v>163</v>
      </c>
      <c r="B95" s="596" t="s">
        <v>978</v>
      </c>
      <c r="C95" s="616"/>
      <c r="D95" s="612">
        <v>133386</v>
      </c>
      <c r="E95" s="619">
        <v>7</v>
      </c>
      <c r="F95" s="597" t="s">
        <v>52</v>
      </c>
      <c r="G95" s="598" t="s">
        <v>52</v>
      </c>
      <c r="H95" s="599"/>
      <c r="I95" s="600"/>
      <c r="J95" s="599">
        <v>163866</v>
      </c>
      <c r="K95" s="600">
        <v>168080</v>
      </c>
      <c r="L95" s="599">
        <v>57758</v>
      </c>
      <c r="M95" s="600">
        <v>52875</v>
      </c>
      <c r="N95" s="599">
        <v>182223</v>
      </c>
      <c r="O95" s="600">
        <v>156632</v>
      </c>
      <c r="P95" s="601">
        <f t="shared" si="33"/>
        <v>403847</v>
      </c>
      <c r="Q95" s="602">
        <f t="shared" si="34"/>
        <v>13461.566666666668</v>
      </c>
      <c r="R95" s="603">
        <f t="shared" si="35"/>
        <v>377587</v>
      </c>
      <c r="S95" s="604">
        <f t="shared" si="36"/>
        <v>12586.233333333334</v>
      </c>
      <c r="T95" s="599">
        <v>24460</v>
      </c>
      <c r="U95" s="600">
        <v>24883</v>
      </c>
      <c r="V95" s="601">
        <f t="shared" si="37"/>
        <v>403847</v>
      </c>
      <c r="W95" s="605">
        <f t="shared" si="38"/>
        <v>377587</v>
      </c>
      <c r="X95" s="606"/>
      <c r="Y95" s="600"/>
      <c r="Z95" s="599">
        <v>1252029</v>
      </c>
      <c r="AA95" s="600">
        <v>1139373</v>
      </c>
      <c r="AB95" s="599">
        <v>701074</v>
      </c>
      <c r="AC95" s="600">
        <v>646883</v>
      </c>
      <c r="AD95" s="599">
        <v>1149397</v>
      </c>
      <c r="AE95" s="600">
        <v>859415</v>
      </c>
      <c r="AF95" s="601">
        <f t="shared" si="39"/>
        <v>3102500</v>
      </c>
      <c r="AG95" s="602">
        <f t="shared" si="40"/>
        <v>3447.2222222222222</v>
      </c>
      <c r="AH95" s="603">
        <f t="shared" si="41"/>
        <v>2645671</v>
      </c>
      <c r="AI95" s="603">
        <f t="shared" si="42"/>
        <v>2939.6344444444444</v>
      </c>
      <c r="AJ95" s="599">
        <v>21245</v>
      </c>
      <c r="AK95" s="600">
        <v>5580</v>
      </c>
      <c r="AL95" s="601">
        <f t="shared" si="43"/>
        <v>3102500</v>
      </c>
      <c r="AM95" s="604">
        <f t="shared" si="44"/>
        <v>2645671</v>
      </c>
      <c r="AN95" s="607"/>
      <c r="AO95" s="608"/>
      <c r="AP95" s="599"/>
      <c r="AQ95" s="608"/>
      <c r="AR95" s="599"/>
      <c r="AS95" s="608"/>
      <c r="AT95" s="599"/>
      <c r="AU95" s="608"/>
      <c r="AV95" s="601">
        <f t="shared" si="45"/>
        <v>0</v>
      </c>
      <c r="AW95" s="609">
        <f t="shared" si="46"/>
        <v>0</v>
      </c>
      <c r="AX95" s="603">
        <f t="shared" si="47"/>
        <v>0</v>
      </c>
      <c r="AY95" s="610">
        <f t="shared" si="48"/>
        <v>0</v>
      </c>
      <c r="AZ95" s="611">
        <f t="shared" si="49"/>
        <v>16908.788888888888</v>
      </c>
      <c r="BA95" s="603">
        <f t="shared" si="50"/>
        <v>15525.867777777778</v>
      </c>
    </row>
    <row r="96" spans="1:53">
      <c r="A96" s="612" t="s">
        <v>163</v>
      </c>
      <c r="B96" s="596" t="s">
        <v>979</v>
      </c>
      <c r="C96" s="616"/>
      <c r="D96" s="612">
        <v>133508</v>
      </c>
      <c r="E96" s="620">
        <v>7</v>
      </c>
      <c r="F96" s="597" t="s">
        <v>52</v>
      </c>
      <c r="G96" s="598" t="s">
        <v>52</v>
      </c>
      <c r="H96" s="599"/>
      <c r="I96" s="600"/>
      <c r="J96" s="599">
        <v>144276</v>
      </c>
      <c r="K96" s="600">
        <v>150475</v>
      </c>
      <c r="L96" s="599">
        <v>63562</v>
      </c>
      <c r="M96" s="600">
        <v>63150</v>
      </c>
      <c r="N96" s="599">
        <v>153089</v>
      </c>
      <c r="O96" s="600">
        <v>151732</v>
      </c>
      <c r="P96" s="601">
        <f t="shared" si="33"/>
        <v>360927</v>
      </c>
      <c r="Q96" s="602">
        <f t="shared" si="34"/>
        <v>12030.9</v>
      </c>
      <c r="R96" s="603">
        <f t="shared" si="35"/>
        <v>365357</v>
      </c>
      <c r="S96" s="604">
        <f t="shared" si="36"/>
        <v>12178.566666666668</v>
      </c>
      <c r="T96" s="599">
        <v>24635</v>
      </c>
      <c r="U96" s="600">
        <v>26397</v>
      </c>
      <c r="V96" s="601">
        <f t="shared" si="37"/>
        <v>360927</v>
      </c>
      <c r="W96" s="605">
        <f t="shared" si="38"/>
        <v>365357</v>
      </c>
      <c r="X96" s="606"/>
      <c r="Y96" s="600"/>
      <c r="Z96" s="599">
        <v>16350</v>
      </c>
      <c r="AA96" s="600">
        <v>7020</v>
      </c>
      <c r="AB96" s="599">
        <v>6960</v>
      </c>
      <c r="AC96" s="600">
        <v>11760</v>
      </c>
      <c r="AD96" s="599">
        <v>0</v>
      </c>
      <c r="AE96" s="600">
        <v>4800</v>
      </c>
      <c r="AF96" s="601">
        <f t="shared" si="39"/>
        <v>23310</v>
      </c>
      <c r="AG96" s="602">
        <f t="shared" si="40"/>
        <v>25.9</v>
      </c>
      <c r="AH96" s="603">
        <f t="shared" si="41"/>
        <v>23580</v>
      </c>
      <c r="AI96" s="603">
        <f t="shared" si="42"/>
        <v>26.2</v>
      </c>
      <c r="AJ96" s="599">
        <v>0</v>
      </c>
      <c r="AK96" s="600">
        <v>0</v>
      </c>
      <c r="AL96" s="601">
        <f t="shared" si="43"/>
        <v>23310</v>
      </c>
      <c r="AM96" s="604">
        <f t="shared" si="44"/>
        <v>23580</v>
      </c>
      <c r="AN96" s="607"/>
      <c r="AO96" s="608"/>
      <c r="AP96" s="599"/>
      <c r="AQ96" s="608"/>
      <c r="AR96" s="599"/>
      <c r="AS96" s="608"/>
      <c r="AT96" s="599"/>
      <c r="AU96" s="608"/>
      <c r="AV96" s="601">
        <f t="shared" si="45"/>
        <v>0</v>
      </c>
      <c r="AW96" s="609">
        <f t="shared" si="46"/>
        <v>0</v>
      </c>
      <c r="AX96" s="603">
        <f t="shared" si="47"/>
        <v>0</v>
      </c>
      <c r="AY96" s="610">
        <f t="shared" si="48"/>
        <v>0</v>
      </c>
      <c r="AZ96" s="611">
        <f t="shared" si="49"/>
        <v>12056.8</v>
      </c>
      <c r="BA96" s="603">
        <f t="shared" si="50"/>
        <v>12204.766666666668</v>
      </c>
    </row>
    <row r="97" spans="1:53">
      <c r="A97" s="612" t="s">
        <v>163</v>
      </c>
      <c r="B97" s="596" t="s">
        <v>958</v>
      </c>
      <c r="C97" s="614" t="s">
        <v>458</v>
      </c>
      <c r="D97" s="612">
        <v>133702</v>
      </c>
      <c r="E97" s="618">
        <v>7</v>
      </c>
      <c r="F97" s="597" t="s">
        <v>52</v>
      </c>
      <c r="G97" s="598" t="s">
        <v>52</v>
      </c>
      <c r="H97" s="599"/>
      <c r="I97" s="600"/>
      <c r="J97" s="599">
        <v>255491</v>
      </c>
      <c r="K97" s="600">
        <v>265115</v>
      </c>
      <c r="L97" s="599">
        <v>149257</v>
      </c>
      <c r="M97" s="600">
        <v>144070</v>
      </c>
      <c r="N97" s="599">
        <v>263458</v>
      </c>
      <c r="O97" s="600">
        <v>273768</v>
      </c>
      <c r="P97" s="601">
        <f t="shared" si="33"/>
        <v>668206</v>
      </c>
      <c r="Q97" s="602">
        <f t="shared" si="34"/>
        <v>22273.533333333333</v>
      </c>
      <c r="R97" s="603">
        <f t="shared" si="35"/>
        <v>682953</v>
      </c>
      <c r="S97" s="604">
        <f t="shared" si="36"/>
        <v>22765.1</v>
      </c>
      <c r="T97" s="599">
        <v>27452</v>
      </c>
      <c r="U97" s="595">
        <v>31742</v>
      </c>
      <c r="V97" s="601">
        <f t="shared" si="37"/>
        <v>668206</v>
      </c>
      <c r="W97" s="605">
        <f t="shared" si="38"/>
        <v>682953</v>
      </c>
      <c r="X97" s="606"/>
      <c r="Y97" s="600"/>
      <c r="Z97" s="599">
        <v>3098988</v>
      </c>
      <c r="AA97" s="600">
        <v>990157</v>
      </c>
      <c r="AB97" s="599">
        <v>795151</v>
      </c>
      <c r="AC97" s="600">
        <v>770279</v>
      </c>
      <c r="AD97" s="599">
        <v>980775</v>
      </c>
      <c r="AE97" s="600">
        <v>838246</v>
      </c>
      <c r="AF97" s="601">
        <f t="shared" si="39"/>
        <v>4874914</v>
      </c>
      <c r="AG97" s="602">
        <f t="shared" si="40"/>
        <v>5416.5711111111113</v>
      </c>
      <c r="AH97" s="603">
        <f t="shared" si="41"/>
        <v>2598682</v>
      </c>
      <c r="AI97" s="603">
        <f t="shared" si="42"/>
        <v>2887.4244444444444</v>
      </c>
      <c r="AJ97" s="599">
        <v>47225</v>
      </c>
      <c r="AK97" s="600">
        <v>39231</v>
      </c>
      <c r="AL97" s="601">
        <f t="shared" si="43"/>
        <v>4874914</v>
      </c>
      <c r="AM97" s="604">
        <f t="shared" si="44"/>
        <v>2598682</v>
      </c>
      <c r="AN97" s="607"/>
      <c r="AO97" s="608"/>
      <c r="AP97" s="599"/>
      <c r="AQ97" s="608"/>
      <c r="AR97" s="599"/>
      <c r="AS97" s="608"/>
      <c r="AT97" s="599"/>
      <c r="AU97" s="608"/>
      <c r="AV97" s="601">
        <f t="shared" si="45"/>
        <v>0</v>
      </c>
      <c r="AW97" s="609">
        <f t="shared" si="46"/>
        <v>0</v>
      </c>
      <c r="AX97" s="603">
        <f t="shared" si="47"/>
        <v>0</v>
      </c>
      <c r="AY97" s="610">
        <f t="shared" si="48"/>
        <v>0</v>
      </c>
      <c r="AZ97" s="611">
        <f t="shared" si="49"/>
        <v>27690.104444444445</v>
      </c>
      <c r="BA97" s="603">
        <f t="shared" si="50"/>
        <v>25652.524444444443</v>
      </c>
    </row>
    <row r="98" spans="1:53">
      <c r="A98" s="593" t="s">
        <v>163</v>
      </c>
      <c r="B98" s="596" t="s">
        <v>960</v>
      </c>
      <c r="C98" s="614" t="s">
        <v>458</v>
      </c>
      <c r="D98" s="593">
        <v>134608</v>
      </c>
      <c r="E98" s="618">
        <v>7</v>
      </c>
      <c r="F98" s="586" t="s">
        <v>52</v>
      </c>
      <c r="G98" s="587" t="s">
        <v>52</v>
      </c>
      <c r="H98" s="588"/>
      <c r="I98" s="589"/>
      <c r="J98" s="588">
        <v>129173</v>
      </c>
      <c r="K98" s="589">
        <v>133258</v>
      </c>
      <c r="L98" s="588">
        <v>67980</v>
      </c>
      <c r="M98" s="589">
        <v>67639</v>
      </c>
      <c r="N98" s="588">
        <v>137951</v>
      </c>
      <c r="O98" s="589">
        <v>140421</v>
      </c>
      <c r="P98" s="601">
        <f t="shared" si="33"/>
        <v>335104</v>
      </c>
      <c r="Q98" s="602">
        <f t="shared" si="34"/>
        <v>11170.133333333333</v>
      </c>
      <c r="R98" s="603">
        <f t="shared" si="35"/>
        <v>341318</v>
      </c>
      <c r="S98" s="604">
        <f t="shared" si="36"/>
        <v>11377.266666666666</v>
      </c>
      <c r="T98" s="588">
        <v>26357</v>
      </c>
      <c r="U98" s="595">
        <v>31606</v>
      </c>
      <c r="V98" s="601">
        <f t="shared" si="37"/>
        <v>335104</v>
      </c>
      <c r="W98" s="605">
        <f t="shared" si="38"/>
        <v>341318</v>
      </c>
      <c r="X98" s="590"/>
      <c r="Y98" s="589"/>
      <c r="Z98" s="588">
        <v>1029419</v>
      </c>
      <c r="AA98" s="589">
        <v>933053</v>
      </c>
      <c r="AB98" s="588">
        <v>688420</v>
      </c>
      <c r="AC98" s="589">
        <v>650630</v>
      </c>
      <c r="AD98" s="588">
        <v>966552</v>
      </c>
      <c r="AE98" s="589">
        <v>770013</v>
      </c>
      <c r="AF98" s="601">
        <f t="shared" si="39"/>
        <v>2684391</v>
      </c>
      <c r="AG98" s="602">
        <f t="shared" si="40"/>
        <v>2982.6566666666668</v>
      </c>
      <c r="AH98" s="603">
        <f t="shared" si="41"/>
        <v>2353696</v>
      </c>
      <c r="AI98" s="603">
        <f t="shared" si="42"/>
        <v>2615.2177777777779</v>
      </c>
      <c r="AJ98" s="588">
        <v>36540</v>
      </c>
      <c r="AK98" s="589">
        <v>35757</v>
      </c>
      <c r="AL98" s="601">
        <f t="shared" si="43"/>
        <v>2684391</v>
      </c>
      <c r="AM98" s="604">
        <f t="shared" si="44"/>
        <v>2353696</v>
      </c>
      <c r="AN98" s="591"/>
      <c r="AO98" s="592"/>
      <c r="AP98" s="588"/>
      <c r="AQ98" s="592"/>
      <c r="AR98" s="588"/>
      <c r="AS98" s="592"/>
      <c r="AT98" s="588"/>
      <c r="AU98" s="592"/>
      <c r="AV98" s="601">
        <f t="shared" si="45"/>
        <v>0</v>
      </c>
      <c r="AW98" s="609">
        <f t="shared" si="46"/>
        <v>0</v>
      </c>
      <c r="AX98" s="603">
        <f t="shared" si="47"/>
        <v>0</v>
      </c>
      <c r="AY98" s="610">
        <f t="shared" si="48"/>
        <v>0</v>
      </c>
      <c r="AZ98" s="611">
        <f t="shared" si="49"/>
        <v>14152.79</v>
      </c>
      <c r="BA98" s="603">
        <f t="shared" si="50"/>
        <v>13992.484444444444</v>
      </c>
    </row>
    <row r="99" spans="1:53">
      <c r="A99" s="593" t="s">
        <v>163</v>
      </c>
      <c r="B99" s="594" t="s">
        <v>980</v>
      </c>
      <c r="C99" s="615"/>
      <c r="D99" s="593">
        <v>135717</v>
      </c>
      <c r="E99" s="619">
        <v>7</v>
      </c>
      <c r="F99" s="586" t="s">
        <v>52</v>
      </c>
      <c r="G99" s="587" t="s">
        <v>52</v>
      </c>
      <c r="H99" s="588"/>
      <c r="I99" s="589"/>
      <c r="J99" s="588">
        <v>594379</v>
      </c>
      <c r="K99" s="589">
        <v>639453</v>
      </c>
      <c r="L99" s="588">
        <v>327880</v>
      </c>
      <c r="M99" s="589">
        <v>344344</v>
      </c>
      <c r="N99" s="588">
        <v>649476</v>
      </c>
      <c r="O99" s="589">
        <v>670327</v>
      </c>
      <c r="P99" s="601">
        <f t="shared" si="33"/>
        <v>1571735</v>
      </c>
      <c r="Q99" s="602">
        <f t="shared" si="34"/>
        <v>52391.166666666664</v>
      </c>
      <c r="R99" s="603">
        <f t="shared" si="35"/>
        <v>1654124</v>
      </c>
      <c r="S99" s="604">
        <f t="shared" si="36"/>
        <v>55137.466666666667</v>
      </c>
      <c r="T99" s="588">
        <v>23656</v>
      </c>
      <c r="U99" s="600">
        <v>26532</v>
      </c>
      <c r="V99" s="601">
        <f t="shared" si="37"/>
        <v>1571735</v>
      </c>
      <c r="W99" s="605">
        <f t="shared" si="38"/>
        <v>1654124</v>
      </c>
      <c r="X99" s="590"/>
      <c r="Y99" s="589"/>
      <c r="Z99" s="588">
        <v>2409438</v>
      </c>
      <c r="AA99" s="589">
        <v>1971917</v>
      </c>
      <c r="AB99" s="588">
        <v>1708241</v>
      </c>
      <c r="AC99" s="589">
        <v>1484804</v>
      </c>
      <c r="AD99" s="588">
        <v>1635756</v>
      </c>
      <c r="AE99" s="589">
        <v>1100943</v>
      </c>
      <c r="AF99" s="601">
        <f t="shared" si="39"/>
        <v>5753435</v>
      </c>
      <c r="AG99" s="602">
        <f t="shared" si="40"/>
        <v>6392.7055555555553</v>
      </c>
      <c r="AH99" s="603">
        <f t="shared" si="41"/>
        <v>4557664</v>
      </c>
      <c r="AI99" s="603">
        <f t="shared" si="42"/>
        <v>5064.0711111111113</v>
      </c>
      <c r="AJ99" s="588">
        <v>0</v>
      </c>
      <c r="AK99" s="589">
        <v>0</v>
      </c>
      <c r="AL99" s="601">
        <f t="shared" si="43"/>
        <v>5753435</v>
      </c>
      <c r="AM99" s="604">
        <f t="shared" si="44"/>
        <v>4557664</v>
      </c>
      <c r="AN99" s="591"/>
      <c r="AO99" s="592"/>
      <c r="AP99" s="588"/>
      <c r="AQ99" s="592"/>
      <c r="AR99" s="588"/>
      <c r="AS99" s="592"/>
      <c r="AT99" s="588"/>
      <c r="AU99" s="592"/>
      <c r="AV99" s="601">
        <f t="shared" si="45"/>
        <v>0</v>
      </c>
      <c r="AW99" s="609">
        <f t="shared" si="46"/>
        <v>0</v>
      </c>
      <c r="AX99" s="603">
        <f t="shared" si="47"/>
        <v>0</v>
      </c>
      <c r="AY99" s="610">
        <f t="shared" si="48"/>
        <v>0</v>
      </c>
      <c r="AZ99" s="611">
        <f t="shared" si="49"/>
        <v>58783.87222222222</v>
      </c>
      <c r="BA99" s="603">
        <f t="shared" si="50"/>
        <v>60201.537777777776</v>
      </c>
    </row>
    <row r="100" spans="1:53">
      <c r="A100" s="593" t="s">
        <v>163</v>
      </c>
      <c r="B100" s="594" t="s">
        <v>953</v>
      </c>
      <c r="C100" s="615"/>
      <c r="D100" s="593">
        <v>136233</v>
      </c>
      <c r="E100" s="619">
        <v>7</v>
      </c>
      <c r="F100" s="586" t="s">
        <v>52</v>
      </c>
      <c r="G100" s="587" t="s">
        <v>52</v>
      </c>
      <c r="H100" s="588"/>
      <c r="I100" s="589"/>
      <c r="J100" s="588">
        <v>66837</v>
      </c>
      <c r="K100" s="589">
        <v>67037</v>
      </c>
      <c r="L100" s="588">
        <v>30825</v>
      </c>
      <c r="M100" s="589">
        <v>29849</v>
      </c>
      <c r="N100" s="588">
        <v>69793</v>
      </c>
      <c r="O100" s="589">
        <v>65510</v>
      </c>
      <c r="P100" s="601">
        <f t="shared" si="33"/>
        <v>167455</v>
      </c>
      <c r="Q100" s="602">
        <f t="shared" si="34"/>
        <v>5581.833333333333</v>
      </c>
      <c r="R100" s="603">
        <f t="shared" si="35"/>
        <v>162396</v>
      </c>
      <c r="S100" s="604">
        <f t="shared" si="36"/>
        <v>5413.2</v>
      </c>
      <c r="T100" s="588">
        <v>8259</v>
      </c>
      <c r="U100" s="595">
        <v>8400</v>
      </c>
      <c r="V100" s="601">
        <f t="shared" si="37"/>
        <v>167455</v>
      </c>
      <c r="W100" s="605">
        <f t="shared" si="38"/>
        <v>162396</v>
      </c>
      <c r="X100" s="590"/>
      <c r="Y100" s="589"/>
      <c r="Z100" s="588">
        <v>138089</v>
      </c>
      <c r="AA100" s="589">
        <v>108168</v>
      </c>
      <c r="AB100" s="588">
        <v>72077</v>
      </c>
      <c r="AC100" s="589">
        <v>63392</v>
      </c>
      <c r="AD100" s="588">
        <v>112161</v>
      </c>
      <c r="AE100" s="589">
        <v>98506</v>
      </c>
      <c r="AF100" s="601">
        <f t="shared" si="39"/>
        <v>322327</v>
      </c>
      <c r="AG100" s="602">
        <f t="shared" si="40"/>
        <v>358.14111111111112</v>
      </c>
      <c r="AH100" s="603">
        <f t="shared" si="41"/>
        <v>270066</v>
      </c>
      <c r="AI100" s="603">
        <f t="shared" si="42"/>
        <v>300.07333333333332</v>
      </c>
      <c r="AJ100" s="588">
        <v>0</v>
      </c>
      <c r="AK100" s="589">
        <v>0</v>
      </c>
      <c r="AL100" s="601">
        <f t="shared" si="43"/>
        <v>322327</v>
      </c>
      <c r="AM100" s="604">
        <f t="shared" si="44"/>
        <v>270066</v>
      </c>
      <c r="AN100" s="591"/>
      <c r="AO100" s="592"/>
      <c r="AP100" s="588"/>
      <c r="AQ100" s="592"/>
      <c r="AR100" s="588"/>
      <c r="AS100" s="592"/>
      <c r="AT100" s="588"/>
      <c r="AU100" s="592"/>
      <c r="AV100" s="601">
        <f t="shared" si="45"/>
        <v>0</v>
      </c>
      <c r="AW100" s="609">
        <f t="shared" si="46"/>
        <v>0</v>
      </c>
      <c r="AX100" s="603">
        <f t="shared" si="47"/>
        <v>0</v>
      </c>
      <c r="AY100" s="610">
        <f t="shared" si="48"/>
        <v>0</v>
      </c>
      <c r="AZ100" s="611">
        <f t="shared" si="49"/>
        <v>5939.9744444444441</v>
      </c>
      <c r="BA100" s="603">
        <f t="shared" si="50"/>
        <v>5713.2733333333335</v>
      </c>
    </row>
    <row r="101" spans="1:53">
      <c r="A101" s="593" t="s">
        <v>163</v>
      </c>
      <c r="B101" s="613" t="s">
        <v>954</v>
      </c>
      <c r="C101" s="615"/>
      <c r="D101" s="593">
        <v>137078</v>
      </c>
      <c r="E101" s="619">
        <v>7</v>
      </c>
      <c r="F101" s="586" t="s">
        <v>52</v>
      </c>
      <c r="G101" s="587" t="s">
        <v>52</v>
      </c>
      <c r="H101" s="588"/>
      <c r="I101" s="589"/>
      <c r="J101" s="588">
        <v>261163</v>
      </c>
      <c r="K101" s="589">
        <v>279908</v>
      </c>
      <c r="L101" s="588">
        <v>105545</v>
      </c>
      <c r="M101" s="589">
        <v>108608</v>
      </c>
      <c r="N101" s="588">
        <v>283199</v>
      </c>
      <c r="O101" s="589">
        <v>291178</v>
      </c>
      <c r="P101" s="601">
        <f t="shared" si="33"/>
        <v>649907</v>
      </c>
      <c r="Q101" s="602">
        <f t="shared" si="34"/>
        <v>21663.566666666666</v>
      </c>
      <c r="R101" s="603">
        <f t="shared" si="35"/>
        <v>679694</v>
      </c>
      <c r="S101" s="604">
        <f t="shared" si="36"/>
        <v>22656.466666666667</v>
      </c>
      <c r="T101" s="588">
        <v>28756</v>
      </c>
      <c r="U101" s="595">
        <v>33428</v>
      </c>
      <c r="V101" s="601">
        <f t="shared" si="37"/>
        <v>649907</v>
      </c>
      <c r="W101" s="605">
        <f t="shared" si="38"/>
        <v>679694</v>
      </c>
      <c r="X101" s="590"/>
      <c r="Y101" s="589"/>
      <c r="Z101" s="588">
        <v>186842</v>
      </c>
      <c r="AA101" s="589">
        <v>59075</v>
      </c>
      <c r="AB101" s="588">
        <v>33009</v>
      </c>
      <c r="AC101" s="589">
        <v>25397</v>
      </c>
      <c r="AD101" s="588">
        <v>37812</v>
      </c>
      <c r="AE101" s="589">
        <v>60834</v>
      </c>
      <c r="AF101" s="601">
        <f t="shared" si="39"/>
        <v>257663</v>
      </c>
      <c r="AG101" s="602">
        <f t="shared" si="40"/>
        <v>286.29222222222222</v>
      </c>
      <c r="AH101" s="603">
        <f t="shared" si="41"/>
        <v>145306</v>
      </c>
      <c r="AI101" s="603">
        <f t="shared" si="42"/>
        <v>161.45111111111112</v>
      </c>
      <c r="AJ101" s="588">
        <v>0</v>
      </c>
      <c r="AK101" s="589">
        <v>0</v>
      </c>
      <c r="AL101" s="601">
        <f t="shared" si="43"/>
        <v>257663</v>
      </c>
      <c r="AM101" s="604">
        <f t="shared" si="44"/>
        <v>145306</v>
      </c>
      <c r="AN101" s="591"/>
      <c r="AO101" s="592"/>
      <c r="AP101" s="588"/>
      <c r="AQ101" s="592"/>
      <c r="AR101" s="588"/>
      <c r="AS101" s="592"/>
      <c r="AT101" s="588"/>
      <c r="AU101" s="592"/>
      <c r="AV101" s="601">
        <f t="shared" si="45"/>
        <v>0</v>
      </c>
      <c r="AW101" s="609">
        <f t="shared" si="46"/>
        <v>0</v>
      </c>
      <c r="AX101" s="603">
        <f t="shared" si="47"/>
        <v>0</v>
      </c>
      <c r="AY101" s="610">
        <f t="shared" si="48"/>
        <v>0</v>
      </c>
      <c r="AZ101" s="611">
        <f t="shared" si="49"/>
        <v>21949.858888888888</v>
      </c>
      <c r="BA101" s="603">
        <f t="shared" si="50"/>
        <v>22817.917777777777</v>
      </c>
    </row>
    <row r="102" spans="1:53">
      <c r="A102" s="593" t="s">
        <v>163</v>
      </c>
      <c r="B102" s="613" t="s">
        <v>955</v>
      </c>
      <c r="C102" s="615"/>
      <c r="D102" s="593">
        <v>132693</v>
      </c>
      <c r="E102" s="619">
        <v>8</v>
      </c>
      <c r="F102" s="586" t="s">
        <v>52</v>
      </c>
      <c r="G102" s="587" t="s">
        <v>52</v>
      </c>
      <c r="H102" s="588"/>
      <c r="I102" s="589"/>
      <c r="J102" s="588">
        <v>150968</v>
      </c>
      <c r="K102" s="589">
        <v>155633</v>
      </c>
      <c r="L102" s="588">
        <v>54355</v>
      </c>
      <c r="M102" s="589">
        <v>57150</v>
      </c>
      <c r="N102" s="588">
        <v>155306</v>
      </c>
      <c r="O102" s="589">
        <v>160161</v>
      </c>
      <c r="P102" s="601">
        <f t="shared" si="33"/>
        <v>360629</v>
      </c>
      <c r="Q102" s="602">
        <f t="shared" si="34"/>
        <v>12020.966666666667</v>
      </c>
      <c r="R102" s="603">
        <f t="shared" si="35"/>
        <v>372944</v>
      </c>
      <c r="S102" s="604">
        <f t="shared" si="36"/>
        <v>12431.466666666667</v>
      </c>
      <c r="T102" s="588">
        <v>47421</v>
      </c>
      <c r="U102" s="595">
        <v>50287</v>
      </c>
      <c r="V102" s="601">
        <f t="shared" si="37"/>
        <v>360629</v>
      </c>
      <c r="W102" s="605">
        <f t="shared" si="38"/>
        <v>372944</v>
      </c>
      <c r="X102" s="590"/>
      <c r="Y102" s="589"/>
      <c r="Z102" s="588">
        <v>652963</v>
      </c>
      <c r="AA102" s="589">
        <v>705107</v>
      </c>
      <c r="AB102" s="588">
        <v>116120</v>
      </c>
      <c r="AC102" s="589">
        <v>121528</v>
      </c>
      <c r="AD102" s="588">
        <v>436879</v>
      </c>
      <c r="AE102" s="589">
        <v>492401</v>
      </c>
      <c r="AF102" s="601">
        <f t="shared" si="39"/>
        <v>1205962</v>
      </c>
      <c r="AG102" s="602">
        <f t="shared" si="40"/>
        <v>1339.9577777777777</v>
      </c>
      <c r="AH102" s="603">
        <f t="shared" si="41"/>
        <v>1319036</v>
      </c>
      <c r="AI102" s="603">
        <f t="shared" si="42"/>
        <v>1465.5955555555556</v>
      </c>
      <c r="AJ102" s="588">
        <v>78773</v>
      </c>
      <c r="AK102" s="589">
        <v>91770</v>
      </c>
      <c r="AL102" s="601">
        <f t="shared" si="43"/>
        <v>1205962</v>
      </c>
      <c r="AM102" s="604">
        <f t="shared" si="44"/>
        <v>1319036</v>
      </c>
      <c r="AN102" s="591"/>
      <c r="AO102" s="592"/>
      <c r="AP102" s="588"/>
      <c r="AQ102" s="592"/>
      <c r="AR102" s="588"/>
      <c r="AS102" s="592"/>
      <c r="AT102" s="588"/>
      <c r="AU102" s="592"/>
      <c r="AV102" s="601">
        <f t="shared" si="45"/>
        <v>0</v>
      </c>
      <c r="AW102" s="609">
        <f t="shared" si="46"/>
        <v>0</v>
      </c>
      <c r="AX102" s="603">
        <f t="shared" si="47"/>
        <v>0</v>
      </c>
      <c r="AY102" s="610">
        <f t="shared" si="48"/>
        <v>0</v>
      </c>
      <c r="AZ102" s="611">
        <f t="shared" si="49"/>
        <v>13360.924444444445</v>
      </c>
      <c r="BA102" s="603">
        <f t="shared" si="50"/>
        <v>13897.062222222223</v>
      </c>
    </row>
    <row r="103" spans="1:53">
      <c r="A103" s="593" t="s">
        <v>163</v>
      </c>
      <c r="B103" s="582" t="s">
        <v>956</v>
      </c>
      <c r="C103" s="617" t="s">
        <v>981</v>
      </c>
      <c r="D103" s="593">
        <v>132709</v>
      </c>
      <c r="E103" s="619">
        <v>8</v>
      </c>
      <c r="F103" s="586" t="s">
        <v>52</v>
      </c>
      <c r="G103" s="587" t="s">
        <v>52</v>
      </c>
      <c r="H103" s="588"/>
      <c r="I103" s="589"/>
      <c r="J103" s="588">
        <v>335337</v>
      </c>
      <c r="K103" s="589">
        <v>364923</v>
      </c>
      <c r="L103" s="588">
        <v>176146</v>
      </c>
      <c r="M103" s="589">
        <v>187684</v>
      </c>
      <c r="N103" s="588">
        <v>359070</v>
      </c>
      <c r="O103" s="589">
        <v>369074</v>
      </c>
      <c r="P103" s="601">
        <f t="shared" si="33"/>
        <v>870553</v>
      </c>
      <c r="Q103" s="602">
        <f t="shared" si="34"/>
        <v>29018.433333333334</v>
      </c>
      <c r="R103" s="603">
        <f t="shared" si="35"/>
        <v>921681</v>
      </c>
      <c r="S103" s="604">
        <f t="shared" si="36"/>
        <v>30722.7</v>
      </c>
      <c r="T103" s="588">
        <v>35215</v>
      </c>
      <c r="U103" s="595">
        <v>40449</v>
      </c>
      <c r="V103" s="601">
        <f t="shared" si="37"/>
        <v>870553</v>
      </c>
      <c r="W103" s="605">
        <f t="shared" si="38"/>
        <v>921681</v>
      </c>
      <c r="X103" s="590"/>
      <c r="Y103" s="589"/>
      <c r="Z103" s="588">
        <v>217272</v>
      </c>
      <c r="AA103" s="589">
        <v>147620</v>
      </c>
      <c r="AB103" s="588">
        <v>102783</v>
      </c>
      <c r="AC103" s="589">
        <v>109605</v>
      </c>
      <c r="AD103" s="588">
        <v>148891</v>
      </c>
      <c r="AE103" s="589">
        <v>164154</v>
      </c>
      <c r="AF103" s="601">
        <f t="shared" si="39"/>
        <v>468946</v>
      </c>
      <c r="AG103" s="602">
        <f t="shared" si="40"/>
        <v>521.05111111111114</v>
      </c>
      <c r="AH103" s="603">
        <f t="shared" si="41"/>
        <v>421379</v>
      </c>
      <c r="AI103" s="603">
        <f t="shared" si="42"/>
        <v>468.19888888888892</v>
      </c>
      <c r="AJ103" s="588">
        <v>0</v>
      </c>
      <c r="AK103" s="589">
        <v>0</v>
      </c>
      <c r="AL103" s="601">
        <f t="shared" si="43"/>
        <v>468946</v>
      </c>
      <c r="AM103" s="604">
        <f t="shared" si="44"/>
        <v>421379</v>
      </c>
      <c r="AN103" s="591"/>
      <c r="AO103" s="592"/>
      <c r="AP103" s="588"/>
      <c r="AQ103" s="592"/>
      <c r="AR103" s="588"/>
      <c r="AS103" s="592"/>
      <c r="AT103" s="588"/>
      <c r="AU103" s="592"/>
      <c r="AV103" s="601">
        <f t="shared" si="45"/>
        <v>0</v>
      </c>
      <c r="AW103" s="609">
        <f t="shared" si="46"/>
        <v>0</v>
      </c>
      <c r="AX103" s="603">
        <f t="shared" si="47"/>
        <v>0</v>
      </c>
      <c r="AY103" s="610">
        <f t="shared" si="48"/>
        <v>0</v>
      </c>
      <c r="AZ103" s="611">
        <f t="shared" si="49"/>
        <v>29539.484444444446</v>
      </c>
      <c r="BA103" s="603">
        <f t="shared" si="50"/>
        <v>31190.898888888889</v>
      </c>
    </row>
    <row r="104" spans="1:53">
      <c r="A104" s="593" t="s">
        <v>163</v>
      </c>
      <c r="B104" s="596" t="s">
        <v>957</v>
      </c>
      <c r="C104" s="616"/>
      <c r="D104" s="593">
        <v>132851</v>
      </c>
      <c r="E104" s="620">
        <v>8</v>
      </c>
      <c r="F104" s="586" t="s">
        <v>52</v>
      </c>
      <c r="G104" s="587" t="s">
        <v>52</v>
      </c>
      <c r="H104" s="588"/>
      <c r="I104" s="589"/>
      <c r="J104" s="588">
        <v>73568</v>
      </c>
      <c r="K104" s="589">
        <v>76838</v>
      </c>
      <c r="L104" s="588">
        <v>27459</v>
      </c>
      <c r="M104" s="589">
        <v>28700</v>
      </c>
      <c r="N104" s="588">
        <v>78040</v>
      </c>
      <c r="O104" s="589">
        <v>78593</v>
      </c>
      <c r="P104" s="601">
        <f t="shared" si="33"/>
        <v>179067</v>
      </c>
      <c r="Q104" s="602">
        <f t="shared" si="34"/>
        <v>5968.9</v>
      </c>
      <c r="R104" s="603">
        <f t="shared" si="35"/>
        <v>184131</v>
      </c>
      <c r="S104" s="604">
        <f t="shared" si="36"/>
        <v>6137.7</v>
      </c>
      <c r="T104" s="588">
        <v>9998</v>
      </c>
      <c r="U104" s="595">
        <v>11671</v>
      </c>
      <c r="V104" s="601">
        <f t="shared" si="37"/>
        <v>179067</v>
      </c>
      <c r="W104" s="605">
        <f t="shared" si="38"/>
        <v>184131</v>
      </c>
      <c r="X104" s="590"/>
      <c r="Y104" s="589"/>
      <c r="Z104" s="588">
        <v>263153</v>
      </c>
      <c r="AA104" s="589">
        <v>190618</v>
      </c>
      <c r="AB104" s="588">
        <v>112056</v>
      </c>
      <c r="AC104" s="589">
        <v>118329</v>
      </c>
      <c r="AD104" s="588">
        <v>172884</v>
      </c>
      <c r="AE104" s="589">
        <v>155787</v>
      </c>
      <c r="AF104" s="601">
        <f t="shared" si="39"/>
        <v>548093</v>
      </c>
      <c r="AG104" s="602">
        <f t="shared" si="40"/>
        <v>608.99222222222227</v>
      </c>
      <c r="AH104" s="603">
        <f t="shared" si="41"/>
        <v>464734</v>
      </c>
      <c r="AI104" s="603">
        <f t="shared" si="42"/>
        <v>516.37111111111108</v>
      </c>
      <c r="AJ104" s="588">
        <v>4020</v>
      </c>
      <c r="AK104" s="589">
        <v>1860</v>
      </c>
      <c r="AL104" s="601">
        <f t="shared" si="43"/>
        <v>548093</v>
      </c>
      <c r="AM104" s="604">
        <f t="shared" si="44"/>
        <v>464734</v>
      </c>
      <c r="AN104" s="591"/>
      <c r="AO104" s="592"/>
      <c r="AP104" s="588"/>
      <c r="AQ104" s="592"/>
      <c r="AR104" s="588"/>
      <c r="AS104" s="592"/>
      <c r="AT104" s="588"/>
      <c r="AU104" s="592"/>
      <c r="AV104" s="601">
        <f t="shared" si="45"/>
        <v>0</v>
      </c>
      <c r="AW104" s="609">
        <f t="shared" si="46"/>
        <v>0</v>
      </c>
      <c r="AX104" s="603">
        <f t="shared" si="47"/>
        <v>0</v>
      </c>
      <c r="AY104" s="610">
        <f t="shared" si="48"/>
        <v>0</v>
      </c>
      <c r="AZ104" s="611">
        <f t="shared" si="49"/>
        <v>6577.8922222222218</v>
      </c>
      <c r="BA104" s="603">
        <f t="shared" si="50"/>
        <v>6654.0711111111104</v>
      </c>
    </row>
    <row r="105" spans="1:53">
      <c r="A105" s="593" t="s">
        <v>163</v>
      </c>
      <c r="B105" s="613" t="s">
        <v>959</v>
      </c>
      <c r="C105" s="616"/>
      <c r="D105" s="593">
        <v>134495</v>
      </c>
      <c r="E105" s="619">
        <v>8</v>
      </c>
      <c r="F105" s="586" t="s">
        <v>52</v>
      </c>
      <c r="G105" s="587" t="s">
        <v>52</v>
      </c>
      <c r="H105" s="588"/>
      <c r="I105" s="589"/>
      <c r="J105" s="588">
        <v>245028</v>
      </c>
      <c r="K105" s="589">
        <v>253680</v>
      </c>
      <c r="L105" s="588">
        <v>92849</v>
      </c>
      <c r="M105" s="589">
        <v>94010</v>
      </c>
      <c r="N105" s="588">
        <v>253264</v>
      </c>
      <c r="O105" s="589">
        <v>256082</v>
      </c>
      <c r="P105" s="601">
        <f t="shared" si="33"/>
        <v>591141</v>
      </c>
      <c r="Q105" s="602">
        <f t="shared" si="34"/>
        <v>19704.7</v>
      </c>
      <c r="R105" s="603">
        <f t="shared" si="35"/>
        <v>603772</v>
      </c>
      <c r="S105" s="604">
        <f t="shared" si="36"/>
        <v>20125.733333333334</v>
      </c>
      <c r="T105" s="588">
        <v>11779</v>
      </c>
      <c r="U105" s="595">
        <v>11877</v>
      </c>
      <c r="V105" s="601">
        <f t="shared" si="37"/>
        <v>591141</v>
      </c>
      <c r="W105" s="605">
        <f t="shared" si="38"/>
        <v>603772</v>
      </c>
      <c r="X105" s="590"/>
      <c r="Y105" s="589"/>
      <c r="Z105" s="588">
        <v>839851</v>
      </c>
      <c r="AA105" s="589">
        <v>610533</v>
      </c>
      <c r="AB105" s="588">
        <v>95842</v>
      </c>
      <c r="AC105" s="589">
        <v>121009</v>
      </c>
      <c r="AD105" s="588">
        <v>666572</v>
      </c>
      <c r="AE105" s="589">
        <v>632269</v>
      </c>
      <c r="AF105" s="601">
        <f t="shared" si="39"/>
        <v>1602265</v>
      </c>
      <c r="AG105" s="602">
        <f t="shared" si="40"/>
        <v>1780.2944444444445</v>
      </c>
      <c r="AH105" s="603">
        <f t="shared" si="41"/>
        <v>1363811</v>
      </c>
      <c r="AI105" s="603">
        <f t="shared" si="42"/>
        <v>1515.3455555555556</v>
      </c>
      <c r="AJ105" s="588">
        <v>0</v>
      </c>
      <c r="AK105" s="589">
        <v>0</v>
      </c>
      <c r="AL105" s="601">
        <f t="shared" si="43"/>
        <v>1602265</v>
      </c>
      <c r="AM105" s="604">
        <f t="shared" si="44"/>
        <v>1363811</v>
      </c>
      <c r="AN105" s="591"/>
      <c r="AO105" s="592"/>
      <c r="AP105" s="588"/>
      <c r="AQ105" s="592"/>
      <c r="AR105" s="588"/>
      <c r="AS105" s="592"/>
      <c r="AT105" s="588"/>
      <c r="AU105" s="592"/>
      <c r="AV105" s="601">
        <f t="shared" si="45"/>
        <v>0</v>
      </c>
      <c r="AW105" s="609">
        <f t="shared" si="46"/>
        <v>0</v>
      </c>
      <c r="AX105" s="603">
        <f t="shared" si="47"/>
        <v>0</v>
      </c>
      <c r="AY105" s="610">
        <f t="shared" si="48"/>
        <v>0</v>
      </c>
      <c r="AZ105" s="611">
        <f t="shared" si="49"/>
        <v>21484.994444444445</v>
      </c>
      <c r="BA105" s="603">
        <f t="shared" si="50"/>
        <v>21641.078888888889</v>
      </c>
    </row>
    <row r="106" spans="1:53">
      <c r="A106" s="593" t="s">
        <v>163</v>
      </c>
      <c r="B106" s="582" t="s">
        <v>961</v>
      </c>
      <c r="C106" s="617" t="s">
        <v>981</v>
      </c>
      <c r="D106" s="593">
        <v>136358</v>
      </c>
      <c r="E106" s="619">
        <v>8</v>
      </c>
      <c r="F106" s="586" t="s">
        <v>52</v>
      </c>
      <c r="G106" s="587" t="s">
        <v>52</v>
      </c>
      <c r="H106" s="588"/>
      <c r="I106" s="589"/>
      <c r="J106" s="588">
        <v>224696</v>
      </c>
      <c r="K106" s="589">
        <v>236663</v>
      </c>
      <c r="L106" s="588">
        <v>94857</v>
      </c>
      <c r="M106" s="589">
        <v>103022</v>
      </c>
      <c r="N106" s="588">
        <v>247234</v>
      </c>
      <c r="O106" s="589">
        <v>252774</v>
      </c>
      <c r="P106" s="601">
        <f t="shared" si="33"/>
        <v>566787</v>
      </c>
      <c r="Q106" s="602">
        <f t="shared" si="34"/>
        <v>18892.900000000001</v>
      </c>
      <c r="R106" s="603">
        <f t="shared" si="35"/>
        <v>592459</v>
      </c>
      <c r="S106" s="604">
        <f t="shared" si="36"/>
        <v>19748.633333333335</v>
      </c>
      <c r="T106" s="588">
        <v>21439</v>
      </c>
      <c r="U106" s="595">
        <v>25471</v>
      </c>
      <c r="V106" s="601">
        <f t="shared" si="37"/>
        <v>566787</v>
      </c>
      <c r="W106" s="605">
        <f t="shared" si="38"/>
        <v>592459</v>
      </c>
      <c r="X106" s="590"/>
      <c r="Y106" s="589"/>
      <c r="Z106" s="588">
        <v>778814</v>
      </c>
      <c r="AA106" s="589">
        <v>554691</v>
      </c>
      <c r="AB106" s="588">
        <v>375900</v>
      </c>
      <c r="AC106" s="589">
        <v>311300</v>
      </c>
      <c r="AD106" s="588">
        <v>542207</v>
      </c>
      <c r="AE106" s="589">
        <v>458036</v>
      </c>
      <c r="AF106" s="601">
        <f t="shared" si="39"/>
        <v>1696921</v>
      </c>
      <c r="AG106" s="602">
        <f t="shared" si="40"/>
        <v>1885.4677777777779</v>
      </c>
      <c r="AH106" s="603">
        <f t="shared" si="41"/>
        <v>1324027</v>
      </c>
      <c r="AI106" s="603">
        <f t="shared" si="42"/>
        <v>1471.1411111111111</v>
      </c>
      <c r="AJ106" s="588">
        <v>6496</v>
      </c>
      <c r="AK106" s="589">
        <v>15000</v>
      </c>
      <c r="AL106" s="601">
        <f t="shared" si="43"/>
        <v>1696921</v>
      </c>
      <c r="AM106" s="604">
        <f t="shared" si="44"/>
        <v>1324027</v>
      </c>
      <c r="AN106" s="591"/>
      <c r="AO106" s="592"/>
      <c r="AP106" s="588"/>
      <c r="AQ106" s="592"/>
      <c r="AR106" s="588"/>
      <c r="AS106" s="592"/>
      <c r="AT106" s="588"/>
      <c r="AU106" s="592"/>
      <c r="AV106" s="601">
        <f t="shared" si="45"/>
        <v>0</v>
      </c>
      <c r="AW106" s="609">
        <f t="shared" si="46"/>
        <v>0</v>
      </c>
      <c r="AX106" s="603">
        <f t="shared" si="47"/>
        <v>0</v>
      </c>
      <c r="AY106" s="610">
        <f t="shared" si="48"/>
        <v>0</v>
      </c>
      <c r="AZ106" s="611">
        <f t="shared" si="49"/>
        <v>20778.367777777778</v>
      </c>
      <c r="BA106" s="603">
        <f t="shared" si="50"/>
        <v>21219.774444444447</v>
      </c>
    </row>
    <row r="107" spans="1:53">
      <c r="A107" s="593" t="s">
        <v>163</v>
      </c>
      <c r="B107" s="594" t="s">
        <v>962</v>
      </c>
      <c r="C107" s="616"/>
      <c r="D107" s="593">
        <v>136400</v>
      </c>
      <c r="E107" s="619">
        <v>8</v>
      </c>
      <c r="F107" s="586" t="s">
        <v>52</v>
      </c>
      <c r="G107" s="587" t="s">
        <v>52</v>
      </c>
      <c r="H107" s="588"/>
      <c r="I107" s="589"/>
      <c r="J107" s="588">
        <v>87088</v>
      </c>
      <c r="K107" s="589">
        <v>93566</v>
      </c>
      <c r="L107" s="588">
        <v>29355</v>
      </c>
      <c r="M107" s="589">
        <v>30868</v>
      </c>
      <c r="N107" s="588">
        <v>94569</v>
      </c>
      <c r="O107" s="589">
        <v>98347</v>
      </c>
      <c r="P107" s="601">
        <f t="shared" si="33"/>
        <v>211012</v>
      </c>
      <c r="Q107" s="602">
        <f t="shared" si="34"/>
        <v>7033.7333333333336</v>
      </c>
      <c r="R107" s="603">
        <f t="shared" si="35"/>
        <v>222781</v>
      </c>
      <c r="S107" s="604">
        <f t="shared" si="36"/>
        <v>7426.0333333333338</v>
      </c>
      <c r="T107" s="588">
        <v>19177</v>
      </c>
      <c r="U107" s="595">
        <v>24342</v>
      </c>
      <c r="V107" s="601">
        <f t="shared" si="37"/>
        <v>211012</v>
      </c>
      <c r="W107" s="605">
        <f t="shared" si="38"/>
        <v>222781</v>
      </c>
      <c r="X107" s="590"/>
      <c r="Y107" s="589"/>
      <c r="Z107" s="588">
        <v>211628</v>
      </c>
      <c r="AA107" s="589">
        <v>206440</v>
      </c>
      <c r="AB107" s="588">
        <v>104665</v>
      </c>
      <c r="AC107" s="589">
        <v>82670</v>
      </c>
      <c r="AD107" s="588">
        <v>194843</v>
      </c>
      <c r="AE107" s="589">
        <v>170272</v>
      </c>
      <c r="AF107" s="601">
        <f t="shared" si="39"/>
        <v>511136</v>
      </c>
      <c r="AG107" s="602">
        <f t="shared" si="40"/>
        <v>567.92888888888888</v>
      </c>
      <c r="AH107" s="603">
        <f t="shared" si="41"/>
        <v>459382</v>
      </c>
      <c r="AI107" s="603">
        <f t="shared" si="42"/>
        <v>510.42444444444442</v>
      </c>
      <c r="AJ107" s="588">
        <v>3280</v>
      </c>
      <c r="AK107" s="589">
        <v>480</v>
      </c>
      <c r="AL107" s="601">
        <f t="shared" si="43"/>
        <v>511136</v>
      </c>
      <c r="AM107" s="604">
        <f t="shared" si="44"/>
        <v>459382</v>
      </c>
      <c r="AN107" s="591"/>
      <c r="AO107" s="592"/>
      <c r="AP107" s="588"/>
      <c r="AQ107" s="592"/>
      <c r="AR107" s="588"/>
      <c r="AS107" s="592"/>
      <c r="AT107" s="588"/>
      <c r="AU107" s="592"/>
      <c r="AV107" s="601">
        <f t="shared" si="45"/>
        <v>0</v>
      </c>
      <c r="AW107" s="609">
        <f t="shared" si="46"/>
        <v>0</v>
      </c>
      <c r="AX107" s="603">
        <f t="shared" si="47"/>
        <v>0</v>
      </c>
      <c r="AY107" s="610">
        <f t="shared" si="48"/>
        <v>0</v>
      </c>
      <c r="AZ107" s="611">
        <f t="shared" si="49"/>
        <v>7601.6622222222222</v>
      </c>
      <c r="BA107" s="603">
        <f t="shared" si="50"/>
        <v>7936.4577777777786</v>
      </c>
    </row>
    <row r="108" spans="1:53">
      <c r="A108" s="593" t="s">
        <v>163</v>
      </c>
      <c r="B108" s="582" t="s">
        <v>963</v>
      </c>
      <c r="C108" s="616"/>
      <c r="D108" s="593">
        <v>136473</v>
      </c>
      <c r="E108" s="619">
        <v>8</v>
      </c>
      <c r="F108" s="586" t="s">
        <v>52</v>
      </c>
      <c r="G108" s="587" t="s">
        <v>52</v>
      </c>
      <c r="H108" s="588"/>
      <c r="I108" s="589"/>
      <c r="J108" s="588">
        <v>101819</v>
      </c>
      <c r="K108" s="589">
        <v>102411</v>
      </c>
      <c r="L108" s="588">
        <v>42254</v>
      </c>
      <c r="M108" s="589">
        <v>42531</v>
      </c>
      <c r="N108" s="588">
        <v>101019</v>
      </c>
      <c r="O108" s="589">
        <v>107693</v>
      </c>
      <c r="P108" s="601">
        <f t="shared" si="33"/>
        <v>245092</v>
      </c>
      <c r="Q108" s="602">
        <f t="shared" si="34"/>
        <v>8169.7333333333336</v>
      </c>
      <c r="R108" s="603">
        <f t="shared" si="35"/>
        <v>252635</v>
      </c>
      <c r="S108" s="604">
        <f t="shared" si="36"/>
        <v>8421.1666666666661</v>
      </c>
      <c r="T108" s="588">
        <v>22827</v>
      </c>
      <c r="U108" s="595">
        <v>26172</v>
      </c>
      <c r="V108" s="601">
        <f t="shared" si="37"/>
        <v>245092</v>
      </c>
      <c r="W108" s="605">
        <f t="shared" si="38"/>
        <v>252635</v>
      </c>
      <c r="X108" s="590"/>
      <c r="Y108" s="589"/>
      <c r="Z108" s="588">
        <v>446486</v>
      </c>
      <c r="AA108" s="589">
        <v>387822</v>
      </c>
      <c r="AB108" s="588">
        <v>270188</v>
      </c>
      <c r="AC108" s="589">
        <v>234222</v>
      </c>
      <c r="AD108" s="588">
        <v>406576</v>
      </c>
      <c r="AE108" s="589">
        <v>383605</v>
      </c>
      <c r="AF108" s="601">
        <f t="shared" si="39"/>
        <v>1123250</v>
      </c>
      <c r="AG108" s="602">
        <f t="shared" si="40"/>
        <v>1248.0555555555557</v>
      </c>
      <c r="AH108" s="603">
        <f t="shared" si="41"/>
        <v>1005649</v>
      </c>
      <c r="AI108" s="603">
        <f t="shared" si="42"/>
        <v>1117.3877777777777</v>
      </c>
      <c r="AJ108" s="588">
        <v>1170</v>
      </c>
      <c r="AK108" s="589">
        <v>2160</v>
      </c>
      <c r="AL108" s="601">
        <f t="shared" si="43"/>
        <v>1123250</v>
      </c>
      <c r="AM108" s="604">
        <f t="shared" si="44"/>
        <v>1005649</v>
      </c>
      <c r="AN108" s="591"/>
      <c r="AO108" s="592"/>
      <c r="AP108" s="588"/>
      <c r="AQ108" s="592"/>
      <c r="AR108" s="588"/>
      <c r="AS108" s="592"/>
      <c r="AT108" s="588"/>
      <c r="AU108" s="592"/>
      <c r="AV108" s="601">
        <f t="shared" si="45"/>
        <v>0</v>
      </c>
      <c r="AW108" s="609">
        <f t="shared" si="46"/>
        <v>0</v>
      </c>
      <c r="AX108" s="603">
        <f t="shared" si="47"/>
        <v>0</v>
      </c>
      <c r="AY108" s="610">
        <f t="shared" si="48"/>
        <v>0</v>
      </c>
      <c r="AZ108" s="611">
        <f t="shared" si="49"/>
        <v>9417.7888888888883</v>
      </c>
      <c r="BA108" s="603">
        <f t="shared" si="50"/>
        <v>9538.554444444444</v>
      </c>
    </row>
    <row r="109" spans="1:53">
      <c r="A109" s="593" t="s">
        <v>163</v>
      </c>
      <c r="B109" s="582" t="s">
        <v>964</v>
      </c>
      <c r="C109" s="617" t="s">
        <v>981</v>
      </c>
      <c r="D109" s="593">
        <v>136516</v>
      </c>
      <c r="E109" s="619">
        <v>8</v>
      </c>
      <c r="F109" s="586" t="s">
        <v>52</v>
      </c>
      <c r="G109" s="587" t="s">
        <v>52</v>
      </c>
      <c r="H109" s="588"/>
      <c r="I109" s="589"/>
      <c r="J109" s="588">
        <v>82147</v>
      </c>
      <c r="K109" s="589">
        <v>87435</v>
      </c>
      <c r="L109" s="588">
        <v>32214</v>
      </c>
      <c r="M109" s="589">
        <v>33282</v>
      </c>
      <c r="N109" s="588">
        <v>92104</v>
      </c>
      <c r="O109" s="589">
        <v>98313</v>
      </c>
      <c r="P109" s="601">
        <f t="shared" si="33"/>
        <v>206465</v>
      </c>
      <c r="Q109" s="602">
        <f t="shared" si="34"/>
        <v>6882.166666666667</v>
      </c>
      <c r="R109" s="603">
        <f t="shared" si="35"/>
        <v>219030</v>
      </c>
      <c r="S109" s="604">
        <f t="shared" si="36"/>
        <v>7301</v>
      </c>
      <c r="T109" s="588">
        <v>19500</v>
      </c>
      <c r="U109" s="595">
        <v>23256</v>
      </c>
      <c r="V109" s="601">
        <f t="shared" si="37"/>
        <v>206465</v>
      </c>
      <c r="W109" s="605">
        <f t="shared" si="38"/>
        <v>219030</v>
      </c>
      <c r="X109" s="590"/>
      <c r="Y109" s="589"/>
      <c r="Z109" s="588">
        <v>70939</v>
      </c>
      <c r="AA109" s="589">
        <v>40784</v>
      </c>
      <c r="AB109" s="588">
        <v>31396</v>
      </c>
      <c r="AC109" s="589">
        <v>24268</v>
      </c>
      <c r="AD109" s="588">
        <v>23518</v>
      </c>
      <c r="AE109" s="589">
        <v>35946</v>
      </c>
      <c r="AF109" s="601">
        <f t="shared" si="39"/>
        <v>125853</v>
      </c>
      <c r="AG109" s="602">
        <f t="shared" si="40"/>
        <v>139.83666666666667</v>
      </c>
      <c r="AH109" s="603">
        <f t="shared" si="41"/>
        <v>100998</v>
      </c>
      <c r="AI109" s="603">
        <f t="shared" si="42"/>
        <v>112.22</v>
      </c>
      <c r="AJ109" s="588">
        <v>0</v>
      </c>
      <c r="AK109" s="589">
        <v>0</v>
      </c>
      <c r="AL109" s="601">
        <f t="shared" si="43"/>
        <v>125853</v>
      </c>
      <c r="AM109" s="604">
        <f t="shared" si="44"/>
        <v>100998</v>
      </c>
      <c r="AN109" s="591"/>
      <c r="AO109" s="592"/>
      <c r="AP109" s="588"/>
      <c r="AQ109" s="592"/>
      <c r="AR109" s="588"/>
      <c r="AS109" s="592"/>
      <c r="AT109" s="588"/>
      <c r="AU109" s="592"/>
      <c r="AV109" s="601">
        <f t="shared" si="45"/>
        <v>0</v>
      </c>
      <c r="AW109" s="609">
        <f t="shared" si="46"/>
        <v>0</v>
      </c>
      <c r="AX109" s="603">
        <f t="shared" si="47"/>
        <v>0</v>
      </c>
      <c r="AY109" s="610">
        <f t="shared" si="48"/>
        <v>0</v>
      </c>
      <c r="AZ109" s="611">
        <f t="shared" si="49"/>
        <v>7022.003333333334</v>
      </c>
      <c r="BA109" s="603">
        <f t="shared" si="50"/>
        <v>7413.22</v>
      </c>
    </row>
    <row r="110" spans="1:53">
      <c r="A110" s="593" t="s">
        <v>163</v>
      </c>
      <c r="B110" s="582" t="s">
        <v>965</v>
      </c>
      <c r="C110" s="616"/>
      <c r="D110" s="593">
        <v>137096</v>
      </c>
      <c r="E110" s="619">
        <v>8</v>
      </c>
      <c r="F110" s="586" t="s">
        <v>52</v>
      </c>
      <c r="G110" s="587" t="s">
        <v>52</v>
      </c>
      <c r="H110" s="588"/>
      <c r="I110" s="589"/>
      <c r="J110" s="588">
        <v>140776</v>
      </c>
      <c r="K110" s="589">
        <v>145105</v>
      </c>
      <c r="L110" s="588">
        <v>64511</v>
      </c>
      <c r="M110" s="589">
        <v>67496</v>
      </c>
      <c r="N110" s="588">
        <v>153811</v>
      </c>
      <c r="O110" s="589">
        <v>151359</v>
      </c>
      <c r="P110" s="601">
        <f t="shared" si="33"/>
        <v>359098</v>
      </c>
      <c r="Q110" s="602">
        <f t="shared" si="34"/>
        <v>11969.933333333332</v>
      </c>
      <c r="R110" s="603">
        <f t="shared" si="35"/>
        <v>363960</v>
      </c>
      <c r="S110" s="604">
        <f t="shared" si="36"/>
        <v>12132</v>
      </c>
      <c r="T110" s="588">
        <v>13087</v>
      </c>
      <c r="U110" s="595">
        <v>14020</v>
      </c>
      <c r="V110" s="601">
        <f t="shared" si="37"/>
        <v>359098</v>
      </c>
      <c r="W110" s="605">
        <f t="shared" si="38"/>
        <v>363960</v>
      </c>
      <c r="X110" s="590"/>
      <c r="Y110" s="589"/>
      <c r="Z110" s="588">
        <v>245745</v>
      </c>
      <c r="AA110" s="589">
        <v>214465</v>
      </c>
      <c r="AB110" s="588">
        <v>160748</v>
      </c>
      <c r="AC110" s="589">
        <v>144304</v>
      </c>
      <c r="AD110" s="588">
        <v>223330</v>
      </c>
      <c r="AE110" s="589">
        <v>191013</v>
      </c>
      <c r="AF110" s="601">
        <f t="shared" si="39"/>
        <v>629823</v>
      </c>
      <c r="AG110" s="602">
        <f t="shared" si="40"/>
        <v>699.80333333333328</v>
      </c>
      <c r="AH110" s="603">
        <f t="shared" si="41"/>
        <v>549782</v>
      </c>
      <c r="AI110" s="603">
        <f t="shared" si="42"/>
        <v>610.86888888888893</v>
      </c>
      <c r="AJ110" s="588">
        <v>4455</v>
      </c>
      <c r="AK110" s="589">
        <v>525</v>
      </c>
      <c r="AL110" s="601">
        <f t="shared" si="43"/>
        <v>629823</v>
      </c>
      <c r="AM110" s="604">
        <f t="shared" si="44"/>
        <v>549782</v>
      </c>
      <c r="AN110" s="591"/>
      <c r="AO110" s="592"/>
      <c r="AP110" s="588"/>
      <c r="AQ110" s="592"/>
      <c r="AR110" s="588"/>
      <c r="AS110" s="592"/>
      <c r="AT110" s="588"/>
      <c r="AU110" s="592"/>
      <c r="AV110" s="601">
        <f t="shared" si="45"/>
        <v>0</v>
      </c>
      <c r="AW110" s="609">
        <f t="shared" si="46"/>
        <v>0</v>
      </c>
      <c r="AX110" s="603">
        <f t="shared" si="47"/>
        <v>0</v>
      </c>
      <c r="AY110" s="610">
        <f t="shared" si="48"/>
        <v>0</v>
      </c>
      <c r="AZ110" s="611">
        <f t="shared" si="49"/>
        <v>12669.736666666666</v>
      </c>
      <c r="BA110" s="603">
        <f t="shared" si="50"/>
        <v>12742.868888888888</v>
      </c>
    </row>
    <row r="111" spans="1:53">
      <c r="A111" s="593" t="s">
        <v>163</v>
      </c>
      <c r="B111" s="582" t="s">
        <v>966</v>
      </c>
      <c r="C111" s="616"/>
      <c r="D111" s="593">
        <v>137209</v>
      </c>
      <c r="E111" s="619">
        <v>8</v>
      </c>
      <c r="F111" s="586" t="s">
        <v>52</v>
      </c>
      <c r="G111" s="587" t="s">
        <v>52</v>
      </c>
      <c r="H111" s="588"/>
      <c r="I111" s="589"/>
      <c r="J111" s="588">
        <v>155071</v>
      </c>
      <c r="K111" s="589">
        <v>169869</v>
      </c>
      <c r="L111" s="588">
        <v>75234</v>
      </c>
      <c r="M111" s="589">
        <v>75855</v>
      </c>
      <c r="N111" s="588">
        <v>168582</v>
      </c>
      <c r="O111" s="589">
        <v>169432</v>
      </c>
      <c r="P111" s="601">
        <f t="shared" si="33"/>
        <v>398887</v>
      </c>
      <c r="Q111" s="602">
        <f t="shared" si="34"/>
        <v>13296.233333333334</v>
      </c>
      <c r="R111" s="603">
        <f t="shared" si="35"/>
        <v>415156</v>
      </c>
      <c r="S111" s="604">
        <f t="shared" si="36"/>
        <v>13838.533333333333</v>
      </c>
      <c r="T111" s="588">
        <v>5604</v>
      </c>
      <c r="U111" s="595">
        <v>5883</v>
      </c>
      <c r="V111" s="601">
        <f t="shared" si="37"/>
        <v>398887</v>
      </c>
      <c r="W111" s="605">
        <f t="shared" si="38"/>
        <v>415156</v>
      </c>
      <c r="X111" s="590"/>
      <c r="Y111" s="589"/>
      <c r="Z111" s="588">
        <v>639496</v>
      </c>
      <c r="AA111" s="589">
        <v>542141</v>
      </c>
      <c r="AB111" s="588">
        <v>412861</v>
      </c>
      <c r="AC111" s="589">
        <v>344890</v>
      </c>
      <c r="AD111" s="588">
        <v>606264</v>
      </c>
      <c r="AE111" s="589">
        <v>496784</v>
      </c>
      <c r="AF111" s="601">
        <f t="shared" si="39"/>
        <v>1658621</v>
      </c>
      <c r="AG111" s="602">
        <f t="shared" si="40"/>
        <v>1842.9122222222222</v>
      </c>
      <c r="AH111" s="603">
        <f t="shared" si="41"/>
        <v>1383815</v>
      </c>
      <c r="AI111" s="603">
        <f t="shared" si="42"/>
        <v>1537.5722222222223</v>
      </c>
      <c r="AJ111" s="588">
        <v>5093</v>
      </c>
      <c r="AK111" s="589">
        <v>4680</v>
      </c>
      <c r="AL111" s="601">
        <f t="shared" si="43"/>
        <v>1658621</v>
      </c>
      <c r="AM111" s="604">
        <f t="shared" si="44"/>
        <v>1383815</v>
      </c>
      <c r="AN111" s="591"/>
      <c r="AO111" s="592"/>
      <c r="AP111" s="588"/>
      <c r="AQ111" s="592"/>
      <c r="AR111" s="588"/>
      <c r="AS111" s="592"/>
      <c r="AT111" s="588"/>
      <c r="AU111" s="592"/>
      <c r="AV111" s="601">
        <f t="shared" si="45"/>
        <v>0</v>
      </c>
      <c r="AW111" s="609">
        <f t="shared" si="46"/>
        <v>0</v>
      </c>
      <c r="AX111" s="603">
        <f t="shared" si="47"/>
        <v>0</v>
      </c>
      <c r="AY111" s="610">
        <f t="shared" si="48"/>
        <v>0</v>
      </c>
      <c r="AZ111" s="611">
        <f t="shared" si="49"/>
        <v>15139.145555555555</v>
      </c>
      <c r="BA111" s="603">
        <f t="shared" si="50"/>
        <v>15376.105555555556</v>
      </c>
    </row>
    <row r="112" spans="1:53">
      <c r="A112" s="593" t="s">
        <v>163</v>
      </c>
      <c r="B112" s="594" t="s">
        <v>967</v>
      </c>
      <c r="C112" s="617" t="s">
        <v>981</v>
      </c>
      <c r="D112" s="593">
        <v>135391</v>
      </c>
      <c r="E112" s="619">
        <v>8</v>
      </c>
      <c r="F112" s="586" t="s">
        <v>52</v>
      </c>
      <c r="G112" s="587" t="s">
        <v>52</v>
      </c>
      <c r="H112" s="588"/>
      <c r="I112" s="589"/>
      <c r="J112" s="588">
        <v>118271</v>
      </c>
      <c r="K112" s="589">
        <v>109231</v>
      </c>
      <c r="L112" s="588">
        <v>41904</v>
      </c>
      <c r="M112" s="589">
        <v>36876</v>
      </c>
      <c r="N112" s="588">
        <v>116205</v>
      </c>
      <c r="O112" s="589">
        <v>112326</v>
      </c>
      <c r="P112" s="601">
        <f t="shared" si="33"/>
        <v>276380</v>
      </c>
      <c r="Q112" s="602">
        <f t="shared" si="34"/>
        <v>9212.6666666666661</v>
      </c>
      <c r="R112" s="603">
        <f t="shared" si="35"/>
        <v>258433</v>
      </c>
      <c r="S112" s="604">
        <f t="shared" si="36"/>
        <v>8614.4333333333325</v>
      </c>
      <c r="T112" s="588">
        <v>16851</v>
      </c>
      <c r="U112" s="595">
        <v>16709</v>
      </c>
      <c r="V112" s="601">
        <f t="shared" si="37"/>
        <v>276380</v>
      </c>
      <c r="W112" s="605">
        <f t="shared" si="38"/>
        <v>258433</v>
      </c>
      <c r="X112" s="590"/>
      <c r="Y112" s="589"/>
      <c r="Z112" s="588">
        <v>54196</v>
      </c>
      <c r="AA112" s="589">
        <v>10805</v>
      </c>
      <c r="AB112" s="588">
        <v>6407</v>
      </c>
      <c r="AC112" s="589">
        <v>4708</v>
      </c>
      <c r="AD112" s="588">
        <v>12346</v>
      </c>
      <c r="AE112" s="589">
        <v>0</v>
      </c>
      <c r="AF112" s="601">
        <f t="shared" si="39"/>
        <v>72949</v>
      </c>
      <c r="AG112" s="602">
        <f t="shared" si="40"/>
        <v>81.054444444444442</v>
      </c>
      <c r="AH112" s="603">
        <f t="shared" si="41"/>
        <v>15513</v>
      </c>
      <c r="AI112" s="603">
        <f t="shared" si="42"/>
        <v>17.236666666666668</v>
      </c>
      <c r="AJ112" s="588">
        <v>0</v>
      </c>
      <c r="AK112" s="589">
        <v>0</v>
      </c>
      <c r="AL112" s="601">
        <f t="shared" si="43"/>
        <v>72949</v>
      </c>
      <c r="AM112" s="604">
        <f t="shared" si="44"/>
        <v>15513</v>
      </c>
      <c r="AN112" s="591"/>
      <c r="AO112" s="592"/>
      <c r="AP112" s="588"/>
      <c r="AQ112" s="592"/>
      <c r="AR112" s="588"/>
      <c r="AS112" s="592"/>
      <c r="AT112" s="588"/>
      <c r="AU112" s="592"/>
      <c r="AV112" s="601">
        <f t="shared" si="45"/>
        <v>0</v>
      </c>
      <c r="AW112" s="609">
        <f t="shared" si="46"/>
        <v>0</v>
      </c>
      <c r="AX112" s="603">
        <f t="shared" si="47"/>
        <v>0</v>
      </c>
      <c r="AY112" s="610">
        <f t="shared" si="48"/>
        <v>0</v>
      </c>
      <c r="AZ112" s="611">
        <f t="shared" si="49"/>
        <v>9293.7211111111101</v>
      </c>
      <c r="BA112" s="603">
        <f t="shared" si="50"/>
        <v>8631.6699999999983</v>
      </c>
    </row>
    <row r="113" spans="1:53">
      <c r="A113" s="593" t="s">
        <v>163</v>
      </c>
      <c r="B113" s="594" t="s">
        <v>968</v>
      </c>
      <c r="C113" s="616"/>
      <c r="D113" s="593">
        <v>137759</v>
      </c>
      <c r="E113" s="619">
        <v>8</v>
      </c>
      <c r="F113" s="586" t="s">
        <v>52</v>
      </c>
      <c r="G113" s="587" t="s">
        <v>52</v>
      </c>
      <c r="H113" s="588"/>
      <c r="I113" s="589"/>
      <c r="J113" s="588">
        <v>134295</v>
      </c>
      <c r="K113" s="589">
        <v>133652</v>
      </c>
      <c r="L113" s="588">
        <v>64248</v>
      </c>
      <c r="M113" s="589">
        <v>70124</v>
      </c>
      <c r="N113" s="588">
        <v>144277</v>
      </c>
      <c r="O113" s="589">
        <v>148741</v>
      </c>
      <c r="P113" s="601">
        <f t="shared" si="33"/>
        <v>342820</v>
      </c>
      <c r="Q113" s="602">
        <f t="shared" si="34"/>
        <v>11427.333333333334</v>
      </c>
      <c r="R113" s="603">
        <f t="shared" si="35"/>
        <v>352517</v>
      </c>
      <c r="S113" s="604">
        <f t="shared" si="36"/>
        <v>11750.566666666668</v>
      </c>
      <c r="T113" s="588">
        <v>7919</v>
      </c>
      <c r="U113" s="595">
        <v>8663</v>
      </c>
      <c r="V113" s="601">
        <f t="shared" si="37"/>
        <v>342820</v>
      </c>
      <c r="W113" s="605">
        <f t="shared" si="38"/>
        <v>352517</v>
      </c>
      <c r="X113" s="590"/>
      <c r="Y113" s="589"/>
      <c r="Z113" s="588">
        <v>476932</v>
      </c>
      <c r="AA113" s="589">
        <v>228984</v>
      </c>
      <c r="AB113" s="588">
        <v>83143</v>
      </c>
      <c r="AC113" s="589">
        <v>40015</v>
      </c>
      <c r="AD113" s="588">
        <v>206598</v>
      </c>
      <c r="AE113" s="589">
        <v>142710</v>
      </c>
      <c r="AF113" s="601">
        <f t="shared" si="39"/>
        <v>766673</v>
      </c>
      <c r="AG113" s="602">
        <f t="shared" si="40"/>
        <v>851.85888888888894</v>
      </c>
      <c r="AH113" s="603">
        <f t="shared" si="41"/>
        <v>411709</v>
      </c>
      <c r="AI113" s="603">
        <f t="shared" si="42"/>
        <v>457.45444444444445</v>
      </c>
      <c r="AJ113" s="588">
        <v>13672</v>
      </c>
      <c r="AK113" s="589">
        <v>7028</v>
      </c>
      <c r="AL113" s="601">
        <f t="shared" si="43"/>
        <v>766673</v>
      </c>
      <c r="AM113" s="604">
        <f t="shared" si="44"/>
        <v>411709</v>
      </c>
      <c r="AN113" s="591"/>
      <c r="AO113" s="592"/>
      <c r="AP113" s="588"/>
      <c r="AQ113" s="592"/>
      <c r="AR113" s="588"/>
      <c r="AS113" s="592"/>
      <c r="AT113" s="588"/>
      <c r="AU113" s="592"/>
      <c r="AV113" s="601">
        <f t="shared" si="45"/>
        <v>0</v>
      </c>
      <c r="AW113" s="609">
        <f t="shared" si="46"/>
        <v>0</v>
      </c>
      <c r="AX113" s="603">
        <f t="shared" si="47"/>
        <v>0</v>
      </c>
      <c r="AY113" s="610">
        <f t="shared" si="48"/>
        <v>0</v>
      </c>
      <c r="AZ113" s="611">
        <f t="shared" si="49"/>
        <v>12279.192222222224</v>
      </c>
      <c r="BA113" s="603">
        <f t="shared" si="50"/>
        <v>12208.021111111111</v>
      </c>
    </row>
    <row r="114" spans="1:53">
      <c r="A114" s="593" t="s">
        <v>163</v>
      </c>
      <c r="B114" s="594" t="s">
        <v>969</v>
      </c>
      <c r="C114" s="616"/>
      <c r="D114" s="593">
        <v>138187</v>
      </c>
      <c r="E114" s="619">
        <v>8</v>
      </c>
      <c r="F114" s="586" t="s">
        <v>52</v>
      </c>
      <c r="G114" s="587" t="s">
        <v>52</v>
      </c>
      <c r="H114" s="588"/>
      <c r="I114" s="589"/>
      <c r="J114" s="588">
        <v>352629</v>
      </c>
      <c r="K114" s="589">
        <v>367512</v>
      </c>
      <c r="L114" s="588">
        <v>182258</v>
      </c>
      <c r="M114" s="589">
        <v>187193</v>
      </c>
      <c r="N114" s="588">
        <v>380155</v>
      </c>
      <c r="O114" s="589">
        <v>388537</v>
      </c>
      <c r="P114" s="601">
        <f t="shared" si="33"/>
        <v>915042</v>
      </c>
      <c r="Q114" s="602">
        <f t="shared" si="34"/>
        <v>30501.4</v>
      </c>
      <c r="R114" s="603">
        <f t="shared" si="35"/>
        <v>943242</v>
      </c>
      <c r="S114" s="604">
        <f t="shared" si="36"/>
        <v>31441.4</v>
      </c>
      <c r="T114" s="588">
        <v>35157</v>
      </c>
      <c r="U114" s="595">
        <v>37913</v>
      </c>
      <c r="V114" s="601">
        <f t="shared" si="37"/>
        <v>915042</v>
      </c>
      <c r="W114" s="605">
        <f t="shared" si="38"/>
        <v>943242</v>
      </c>
      <c r="X114" s="590"/>
      <c r="Y114" s="589"/>
      <c r="Z114" s="588">
        <v>239270</v>
      </c>
      <c r="AA114" s="589">
        <v>96784</v>
      </c>
      <c r="AB114" s="588">
        <v>29906</v>
      </c>
      <c r="AC114" s="589">
        <v>55258</v>
      </c>
      <c r="AD114" s="588">
        <v>66956</v>
      </c>
      <c r="AE114" s="589">
        <v>39296</v>
      </c>
      <c r="AF114" s="601">
        <f t="shared" si="39"/>
        <v>336132</v>
      </c>
      <c r="AG114" s="602">
        <f t="shared" si="40"/>
        <v>373.48</v>
      </c>
      <c r="AH114" s="603">
        <f t="shared" si="41"/>
        <v>191338</v>
      </c>
      <c r="AI114" s="603">
        <f t="shared" si="42"/>
        <v>212.59777777777776</v>
      </c>
      <c r="AJ114" s="588">
        <v>0</v>
      </c>
      <c r="AK114" s="589">
        <v>0</v>
      </c>
      <c r="AL114" s="601">
        <f t="shared" si="43"/>
        <v>336132</v>
      </c>
      <c r="AM114" s="604">
        <f t="shared" si="44"/>
        <v>191338</v>
      </c>
      <c r="AN114" s="591"/>
      <c r="AO114" s="592"/>
      <c r="AP114" s="588"/>
      <c r="AQ114" s="592"/>
      <c r="AR114" s="588"/>
      <c r="AS114" s="592"/>
      <c r="AT114" s="588"/>
      <c r="AU114" s="592"/>
      <c r="AV114" s="601">
        <f t="shared" si="45"/>
        <v>0</v>
      </c>
      <c r="AW114" s="609">
        <f t="shared" si="46"/>
        <v>0</v>
      </c>
      <c r="AX114" s="603">
        <f t="shared" si="47"/>
        <v>0</v>
      </c>
      <c r="AY114" s="610">
        <f t="shared" si="48"/>
        <v>0</v>
      </c>
      <c r="AZ114" s="611">
        <f t="shared" si="49"/>
        <v>30874.880000000001</v>
      </c>
      <c r="BA114" s="603">
        <f t="shared" si="50"/>
        <v>31653.997777777779</v>
      </c>
    </row>
    <row r="115" spans="1:53">
      <c r="A115" s="593" t="s">
        <v>163</v>
      </c>
      <c r="B115" s="583" t="s">
        <v>970</v>
      </c>
      <c r="C115" s="617"/>
      <c r="D115" s="593">
        <v>134343</v>
      </c>
      <c r="E115" s="619">
        <v>9</v>
      </c>
      <c r="F115" s="586" t="s">
        <v>52</v>
      </c>
      <c r="G115" s="587" t="s">
        <v>52</v>
      </c>
      <c r="H115" s="588"/>
      <c r="I115" s="589"/>
      <c r="J115" s="588">
        <v>59168</v>
      </c>
      <c r="K115" s="589">
        <v>57781</v>
      </c>
      <c r="L115" s="588">
        <v>18435</v>
      </c>
      <c r="M115" s="589">
        <v>18136</v>
      </c>
      <c r="N115" s="588">
        <v>61308</v>
      </c>
      <c r="O115" s="589">
        <v>62384</v>
      </c>
      <c r="P115" s="601">
        <f t="shared" si="33"/>
        <v>138911</v>
      </c>
      <c r="Q115" s="602">
        <f t="shared" si="34"/>
        <v>4630.3666666666668</v>
      </c>
      <c r="R115" s="603">
        <f t="shared" si="35"/>
        <v>138301</v>
      </c>
      <c r="S115" s="604">
        <f t="shared" si="36"/>
        <v>4610.0333333333338</v>
      </c>
      <c r="T115" s="588">
        <v>15415</v>
      </c>
      <c r="U115" s="595">
        <v>15203</v>
      </c>
      <c r="V115" s="601">
        <f t="shared" si="37"/>
        <v>138911</v>
      </c>
      <c r="W115" s="605">
        <f t="shared" si="38"/>
        <v>138301</v>
      </c>
      <c r="X115" s="590"/>
      <c r="Y115" s="589"/>
      <c r="Z115" s="588">
        <v>185496</v>
      </c>
      <c r="AA115" s="589">
        <v>111116</v>
      </c>
      <c r="AB115" s="588">
        <v>86484</v>
      </c>
      <c r="AC115" s="589">
        <v>66384</v>
      </c>
      <c r="AD115" s="588">
        <v>108149</v>
      </c>
      <c r="AE115" s="589">
        <v>74222</v>
      </c>
      <c r="AF115" s="601">
        <f t="shared" si="39"/>
        <v>380129</v>
      </c>
      <c r="AG115" s="602">
        <f t="shared" si="40"/>
        <v>422.36555555555555</v>
      </c>
      <c r="AH115" s="603">
        <f t="shared" si="41"/>
        <v>251722</v>
      </c>
      <c r="AI115" s="603">
        <f t="shared" si="42"/>
        <v>279.69111111111113</v>
      </c>
      <c r="AJ115" s="588">
        <v>0</v>
      </c>
      <c r="AK115" s="589">
        <v>0</v>
      </c>
      <c r="AL115" s="601">
        <f t="shared" si="43"/>
        <v>380129</v>
      </c>
      <c r="AM115" s="604">
        <f t="shared" si="44"/>
        <v>251722</v>
      </c>
      <c r="AN115" s="591"/>
      <c r="AO115" s="592"/>
      <c r="AP115" s="588"/>
      <c r="AQ115" s="592"/>
      <c r="AR115" s="588"/>
      <c r="AS115" s="592"/>
      <c r="AT115" s="588"/>
      <c r="AU115" s="592"/>
      <c r="AV115" s="601">
        <f t="shared" si="45"/>
        <v>0</v>
      </c>
      <c r="AW115" s="609">
        <f t="shared" si="46"/>
        <v>0</v>
      </c>
      <c r="AX115" s="603">
        <f t="shared" si="47"/>
        <v>0</v>
      </c>
      <c r="AY115" s="610">
        <f t="shared" si="48"/>
        <v>0</v>
      </c>
      <c r="AZ115" s="611">
        <f t="shared" si="49"/>
        <v>5052.7322222222219</v>
      </c>
      <c r="BA115" s="603">
        <f t="shared" si="50"/>
        <v>4889.724444444445</v>
      </c>
    </row>
    <row r="116" spans="1:53">
      <c r="A116" s="593" t="s">
        <v>163</v>
      </c>
      <c r="B116" s="594" t="s">
        <v>971</v>
      </c>
      <c r="C116" s="615"/>
      <c r="D116" s="593">
        <v>135160</v>
      </c>
      <c r="E116" s="619">
        <v>9</v>
      </c>
      <c r="F116" s="586" t="s">
        <v>52</v>
      </c>
      <c r="G116" s="587" t="s">
        <v>52</v>
      </c>
      <c r="H116" s="588"/>
      <c r="I116" s="589"/>
      <c r="J116" s="588">
        <v>24343</v>
      </c>
      <c r="K116" s="589">
        <v>23834</v>
      </c>
      <c r="L116" s="588">
        <v>10408</v>
      </c>
      <c r="M116" s="589">
        <v>10470</v>
      </c>
      <c r="N116" s="588">
        <v>24231</v>
      </c>
      <c r="O116" s="589">
        <v>25526</v>
      </c>
      <c r="P116" s="601">
        <f t="shared" si="33"/>
        <v>58982</v>
      </c>
      <c r="Q116" s="602">
        <f t="shared" si="34"/>
        <v>1966.0666666666666</v>
      </c>
      <c r="R116" s="603">
        <f t="shared" si="35"/>
        <v>59830</v>
      </c>
      <c r="S116" s="604">
        <f t="shared" si="36"/>
        <v>1994.3333333333333</v>
      </c>
      <c r="T116" s="588">
        <v>8725</v>
      </c>
      <c r="U116" s="595">
        <v>10042</v>
      </c>
      <c r="V116" s="601">
        <f t="shared" si="37"/>
        <v>58982</v>
      </c>
      <c r="W116" s="605">
        <f t="shared" si="38"/>
        <v>59830</v>
      </c>
      <c r="X116" s="590"/>
      <c r="Y116" s="589"/>
      <c r="Z116" s="588">
        <v>162428</v>
      </c>
      <c r="AA116" s="589">
        <v>129183</v>
      </c>
      <c r="AB116" s="588">
        <v>77073</v>
      </c>
      <c r="AC116" s="589">
        <v>62678</v>
      </c>
      <c r="AD116" s="588">
        <v>126508</v>
      </c>
      <c r="AE116" s="589">
        <v>121412</v>
      </c>
      <c r="AF116" s="601">
        <f t="shared" si="39"/>
        <v>366009</v>
      </c>
      <c r="AG116" s="602">
        <f t="shared" si="40"/>
        <v>406.67666666666668</v>
      </c>
      <c r="AH116" s="603">
        <f t="shared" si="41"/>
        <v>313273</v>
      </c>
      <c r="AI116" s="603">
        <f t="shared" si="42"/>
        <v>348.08111111111111</v>
      </c>
      <c r="AJ116" s="588">
        <v>7810</v>
      </c>
      <c r="AK116" s="589">
        <v>5316</v>
      </c>
      <c r="AL116" s="601">
        <f t="shared" si="43"/>
        <v>366009</v>
      </c>
      <c r="AM116" s="604">
        <f t="shared" si="44"/>
        <v>313273</v>
      </c>
      <c r="AN116" s="591"/>
      <c r="AO116" s="592"/>
      <c r="AP116" s="588"/>
      <c r="AQ116" s="592"/>
      <c r="AR116" s="588"/>
      <c r="AS116" s="592"/>
      <c r="AT116" s="588"/>
      <c r="AU116" s="592"/>
      <c r="AV116" s="601">
        <f t="shared" si="45"/>
        <v>0</v>
      </c>
      <c r="AW116" s="609">
        <f t="shared" si="46"/>
        <v>0</v>
      </c>
      <c r="AX116" s="603">
        <f t="shared" si="47"/>
        <v>0</v>
      </c>
      <c r="AY116" s="610">
        <f t="shared" si="48"/>
        <v>0</v>
      </c>
      <c r="AZ116" s="611">
        <f t="shared" si="49"/>
        <v>2372.7433333333333</v>
      </c>
      <c r="BA116" s="603">
        <f t="shared" si="50"/>
        <v>2342.4144444444446</v>
      </c>
    </row>
    <row r="117" spans="1:53">
      <c r="A117" s="593" t="s">
        <v>163</v>
      </c>
      <c r="B117" s="594" t="s">
        <v>972</v>
      </c>
      <c r="C117" s="615"/>
      <c r="D117" s="593">
        <v>135188</v>
      </c>
      <c r="E117" s="619">
        <v>9</v>
      </c>
      <c r="F117" s="586" t="s">
        <v>52</v>
      </c>
      <c r="G117" s="587" t="s">
        <v>52</v>
      </c>
      <c r="H117" s="588"/>
      <c r="I117" s="589"/>
      <c r="J117" s="588">
        <v>40208</v>
      </c>
      <c r="K117" s="589">
        <v>40603</v>
      </c>
      <c r="L117" s="588">
        <v>14342</v>
      </c>
      <c r="M117" s="589">
        <v>13943</v>
      </c>
      <c r="N117" s="588">
        <v>42882</v>
      </c>
      <c r="O117" s="589">
        <v>42677</v>
      </c>
      <c r="P117" s="601">
        <f t="shared" si="33"/>
        <v>97432</v>
      </c>
      <c r="Q117" s="602">
        <f t="shared" si="34"/>
        <v>3247.7333333333331</v>
      </c>
      <c r="R117" s="603">
        <f t="shared" si="35"/>
        <v>97223</v>
      </c>
      <c r="S117" s="604">
        <f t="shared" si="36"/>
        <v>3240.7666666666669</v>
      </c>
      <c r="T117" s="588">
        <v>11510</v>
      </c>
      <c r="U117" s="595">
        <v>13580</v>
      </c>
      <c r="V117" s="601">
        <f t="shared" si="37"/>
        <v>97432</v>
      </c>
      <c r="W117" s="605">
        <f t="shared" si="38"/>
        <v>97223</v>
      </c>
      <c r="X117" s="590"/>
      <c r="Y117" s="589"/>
      <c r="Z117" s="588">
        <v>30957</v>
      </c>
      <c r="AA117" s="589">
        <v>979</v>
      </c>
      <c r="AB117" s="588">
        <v>236</v>
      </c>
      <c r="AC117" s="589">
        <v>207</v>
      </c>
      <c r="AD117" s="588">
        <v>738</v>
      </c>
      <c r="AE117" s="589">
        <v>654</v>
      </c>
      <c r="AF117" s="601">
        <f t="shared" si="39"/>
        <v>31931</v>
      </c>
      <c r="AG117" s="602">
        <f t="shared" si="40"/>
        <v>35.478888888888889</v>
      </c>
      <c r="AH117" s="603">
        <f t="shared" si="41"/>
        <v>1840</v>
      </c>
      <c r="AI117" s="603">
        <f t="shared" si="42"/>
        <v>2.0444444444444443</v>
      </c>
      <c r="AJ117" s="588">
        <v>0</v>
      </c>
      <c r="AK117" s="589">
        <v>0</v>
      </c>
      <c r="AL117" s="601">
        <f t="shared" si="43"/>
        <v>31931</v>
      </c>
      <c r="AM117" s="604">
        <f t="shared" si="44"/>
        <v>1840</v>
      </c>
      <c r="AN117" s="591"/>
      <c r="AO117" s="592"/>
      <c r="AP117" s="588"/>
      <c r="AQ117" s="592"/>
      <c r="AR117" s="588"/>
      <c r="AS117" s="592"/>
      <c r="AT117" s="588"/>
      <c r="AU117" s="592"/>
      <c r="AV117" s="601">
        <f t="shared" si="45"/>
        <v>0</v>
      </c>
      <c r="AW117" s="609">
        <f t="shared" si="46"/>
        <v>0</v>
      </c>
      <c r="AX117" s="603">
        <f t="shared" si="47"/>
        <v>0</v>
      </c>
      <c r="AY117" s="610">
        <f t="shared" si="48"/>
        <v>0</v>
      </c>
      <c r="AZ117" s="611">
        <f t="shared" si="49"/>
        <v>3283.212222222222</v>
      </c>
      <c r="BA117" s="603">
        <f t="shared" si="50"/>
        <v>3242.8111111111111</v>
      </c>
    </row>
    <row r="118" spans="1:53">
      <c r="A118" s="593" t="s">
        <v>163</v>
      </c>
      <c r="B118" s="594" t="s">
        <v>973</v>
      </c>
      <c r="C118" s="615"/>
      <c r="D118" s="593">
        <v>137315</v>
      </c>
      <c r="E118" s="619">
        <v>9</v>
      </c>
      <c r="F118" s="586" t="s">
        <v>52</v>
      </c>
      <c r="G118" s="587" t="s">
        <v>52</v>
      </c>
      <c r="H118" s="588"/>
      <c r="I118" s="589"/>
      <c r="J118" s="588">
        <v>21438</v>
      </c>
      <c r="K118" s="589">
        <v>20029</v>
      </c>
      <c r="L118" s="588">
        <v>6915</v>
      </c>
      <c r="M118" s="589">
        <v>6394</v>
      </c>
      <c r="N118" s="588">
        <v>21133</v>
      </c>
      <c r="O118" s="589">
        <v>20933</v>
      </c>
      <c r="P118" s="601">
        <f t="shared" si="33"/>
        <v>49486</v>
      </c>
      <c r="Q118" s="602">
        <f t="shared" si="34"/>
        <v>1649.5333333333333</v>
      </c>
      <c r="R118" s="603">
        <f t="shared" si="35"/>
        <v>47356</v>
      </c>
      <c r="S118" s="604">
        <f t="shared" si="36"/>
        <v>1578.5333333333333</v>
      </c>
      <c r="T118" s="588">
        <v>5236</v>
      </c>
      <c r="U118" s="595">
        <v>5311</v>
      </c>
      <c r="V118" s="601">
        <f t="shared" si="37"/>
        <v>49486</v>
      </c>
      <c r="W118" s="605">
        <f t="shared" si="38"/>
        <v>47356</v>
      </c>
      <c r="X118" s="590"/>
      <c r="Y118" s="589"/>
      <c r="Z118" s="588">
        <v>447102</v>
      </c>
      <c r="AA118" s="589">
        <v>387106</v>
      </c>
      <c r="AB118" s="588">
        <v>244057</v>
      </c>
      <c r="AC118" s="589">
        <v>179605</v>
      </c>
      <c r="AD118" s="588">
        <v>394360</v>
      </c>
      <c r="AE118" s="589">
        <v>307704</v>
      </c>
      <c r="AF118" s="601">
        <f t="shared" si="39"/>
        <v>1085519</v>
      </c>
      <c r="AG118" s="602">
        <f t="shared" si="40"/>
        <v>1206.1322222222223</v>
      </c>
      <c r="AH118" s="603">
        <f t="shared" si="41"/>
        <v>874415</v>
      </c>
      <c r="AI118" s="603">
        <f t="shared" si="42"/>
        <v>971.57222222222219</v>
      </c>
      <c r="AJ118" s="588">
        <v>93471</v>
      </c>
      <c r="AK118" s="589">
        <v>90138</v>
      </c>
      <c r="AL118" s="601">
        <f t="shared" si="43"/>
        <v>1085519</v>
      </c>
      <c r="AM118" s="604">
        <f t="shared" si="44"/>
        <v>874415</v>
      </c>
      <c r="AN118" s="591"/>
      <c r="AO118" s="592"/>
      <c r="AP118" s="588"/>
      <c r="AQ118" s="592"/>
      <c r="AR118" s="588"/>
      <c r="AS118" s="592"/>
      <c r="AT118" s="588"/>
      <c r="AU118" s="592"/>
      <c r="AV118" s="601">
        <f t="shared" si="45"/>
        <v>0</v>
      </c>
      <c r="AW118" s="609">
        <f t="shared" si="46"/>
        <v>0</v>
      </c>
      <c r="AX118" s="603">
        <f t="shared" si="47"/>
        <v>0</v>
      </c>
      <c r="AY118" s="610">
        <f t="shared" si="48"/>
        <v>0</v>
      </c>
      <c r="AZ118" s="611">
        <f t="shared" si="49"/>
        <v>2855.6655555555553</v>
      </c>
      <c r="BA118" s="603">
        <f t="shared" si="50"/>
        <v>2550.1055555555554</v>
      </c>
    </row>
    <row r="119" spans="1:53">
      <c r="A119" s="593" t="s">
        <v>163</v>
      </c>
      <c r="B119" s="582" t="s">
        <v>974</v>
      </c>
      <c r="C119" s="616" t="s">
        <v>981</v>
      </c>
      <c r="D119" s="593">
        <v>137281</v>
      </c>
      <c r="E119" s="619">
        <v>9</v>
      </c>
      <c r="F119" s="586" t="s">
        <v>52</v>
      </c>
      <c r="G119" s="587" t="s">
        <v>52</v>
      </c>
      <c r="H119" s="588"/>
      <c r="I119" s="589"/>
      <c r="J119" s="588">
        <v>54824</v>
      </c>
      <c r="K119" s="589">
        <v>55862</v>
      </c>
      <c r="L119" s="588">
        <v>27031</v>
      </c>
      <c r="M119" s="589">
        <v>28011</v>
      </c>
      <c r="N119" s="588">
        <v>57664</v>
      </c>
      <c r="O119" s="589">
        <v>59157</v>
      </c>
      <c r="P119" s="601">
        <f t="shared" si="33"/>
        <v>139519</v>
      </c>
      <c r="Q119" s="602">
        <f t="shared" si="34"/>
        <v>4650.6333333333332</v>
      </c>
      <c r="R119" s="603">
        <f t="shared" si="35"/>
        <v>143030</v>
      </c>
      <c r="S119" s="604">
        <f t="shared" si="36"/>
        <v>4767.666666666667</v>
      </c>
      <c r="T119" s="588">
        <v>14543</v>
      </c>
      <c r="U119" s="595">
        <v>14774</v>
      </c>
      <c r="V119" s="601">
        <f t="shared" si="37"/>
        <v>139519</v>
      </c>
      <c r="W119" s="605">
        <f t="shared" si="38"/>
        <v>143030</v>
      </c>
      <c r="X119" s="590"/>
      <c r="Y119" s="589"/>
      <c r="Z119" s="588">
        <v>136703</v>
      </c>
      <c r="AA119" s="589">
        <v>117431</v>
      </c>
      <c r="AB119" s="588">
        <v>79226</v>
      </c>
      <c r="AC119" s="589">
        <v>65403</v>
      </c>
      <c r="AD119" s="588">
        <v>137816</v>
      </c>
      <c r="AE119" s="589">
        <v>110790</v>
      </c>
      <c r="AF119" s="601">
        <f t="shared" si="39"/>
        <v>353745</v>
      </c>
      <c r="AG119" s="602">
        <f t="shared" si="40"/>
        <v>393.05</v>
      </c>
      <c r="AH119" s="603">
        <f t="shared" si="41"/>
        <v>293624</v>
      </c>
      <c r="AI119" s="603">
        <f t="shared" si="42"/>
        <v>326.24888888888887</v>
      </c>
      <c r="AJ119" s="588">
        <v>0</v>
      </c>
      <c r="AK119" s="589">
        <v>0</v>
      </c>
      <c r="AL119" s="601">
        <f t="shared" si="43"/>
        <v>353745</v>
      </c>
      <c r="AM119" s="604">
        <f t="shared" si="44"/>
        <v>293624</v>
      </c>
      <c r="AN119" s="591"/>
      <c r="AO119" s="592"/>
      <c r="AP119" s="588"/>
      <c r="AQ119" s="592"/>
      <c r="AR119" s="588"/>
      <c r="AS119" s="592"/>
      <c r="AT119" s="588"/>
      <c r="AU119" s="592"/>
      <c r="AV119" s="601">
        <f t="shared" si="45"/>
        <v>0</v>
      </c>
      <c r="AW119" s="609">
        <f t="shared" si="46"/>
        <v>0</v>
      </c>
      <c r="AX119" s="603">
        <f t="shared" si="47"/>
        <v>0</v>
      </c>
      <c r="AY119" s="610">
        <f t="shared" si="48"/>
        <v>0</v>
      </c>
      <c r="AZ119" s="611">
        <f t="shared" si="49"/>
        <v>5043.6833333333334</v>
      </c>
      <c r="BA119" s="603">
        <f t="shared" si="50"/>
        <v>5093.9155555555562</v>
      </c>
    </row>
    <row r="120" spans="1:53">
      <c r="A120" s="593" t="s">
        <v>163</v>
      </c>
      <c r="B120" s="594" t="s">
        <v>975</v>
      </c>
      <c r="C120" s="615"/>
      <c r="D120" s="593">
        <v>133960</v>
      </c>
      <c r="E120" s="619">
        <v>10</v>
      </c>
      <c r="F120" s="586" t="s">
        <v>52</v>
      </c>
      <c r="G120" s="587" t="s">
        <v>52</v>
      </c>
      <c r="H120" s="588"/>
      <c r="I120" s="589"/>
      <c r="J120" s="588">
        <v>12939</v>
      </c>
      <c r="K120" s="589">
        <v>11322</v>
      </c>
      <c r="L120" s="588">
        <v>4643</v>
      </c>
      <c r="M120" s="589">
        <v>4743</v>
      </c>
      <c r="N120" s="588">
        <v>12317</v>
      </c>
      <c r="O120" s="589">
        <v>11470</v>
      </c>
      <c r="P120" s="601">
        <f t="shared" si="33"/>
        <v>29899</v>
      </c>
      <c r="Q120" s="602">
        <f t="shared" si="34"/>
        <v>996.63333333333333</v>
      </c>
      <c r="R120" s="603">
        <f t="shared" si="35"/>
        <v>27535</v>
      </c>
      <c r="S120" s="604">
        <f t="shared" si="36"/>
        <v>917.83333333333337</v>
      </c>
      <c r="T120" s="588">
        <v>2155</v>
      </c>
      <c r="U120" s="595">
        <v>1914</v>
      </c>
      <c r="V120" s="601">
        <f t="shared" si="37"/>
        <v>29899</v>
      </c>
      <c r="W120" s="605">
        <f t="shared" si="38"/>
        <v>27535</v>
      </c>
      <c r="X120" s="590"/>
      <c r="Y120" s="589"/>
      <c r="Z120" s="588">
        <v>13926</v>
      </c>
      <c r="AA120" s="589">
        <v>6750</v>
      </c>
      <c r="AB120" s="588">
        <v>4248</v>
      </c>
      <c r="AC120" s="589">
        <v>8057</v>
      </c>
      <c r="AD120" s="588">
        <v>11880</v>
      </c>
      <c r="AE120" s="589">
        <v>7251</v>
      </c>
      <c r="AF120" s="601">
        <f t="shared" si="39"/>
        <v>30054</v>
      </c>
      <c r="AG120" s="602">
        <f t="shared" si="40"/>
        <v>33.393333333333331</v>
      </c>
      <c r="AH120" s="603">
        <f t="shared" si="41"/>
        <v>22058</v>
      </c>
      <c r="AI120" s="603">
        <f t="shared" si="42"/>
        <v>24.50888888888889</v>
      </c>
      <c r="AJ120" s="588">
        <v>0</v>
      </c>
      <c r="AK120" s="589">
        <v>0</v>
      </c>
      <c r="AL120" s="601">
        <f t="shared" si="43"/>
        <v>30054</v>
      </c>
      <c r="AM120" s="604">
        <f t="shared" si="44"/>
        <v>22058</v>
      </c>
      <c r="AN120" s="591"/>
      <c r="AO120" s="592"/>
      <c r="AP120" s="588"/>
      <c r="AQ120" s="592"/>
      <c r="AR120" s="588"/>
      <c r="AS120" s="592"/>
      <c r="AT120" s="588"/>
      <c r="AU120" s="592"/>
      <c r="AV120" s="601">
        <f t="shared" si="45"/>
        <v>0</v>
      </c>
      <c r="AW120" s="609">
        <f t="shared" si="46"/>
        <v>0</v>
      </c>
      <c r="AX120" s="603">
        <f t="shared" si="47"/>
        <v>0</v>
      </c>
      <c r="AY120" s="610">
        <f t="shared" si="48"/>
        <v>0</v>
      </c>
      <c r="AZ120" s="611">
        <f t="shared" si="49"/>
        <v>1030.0266666666666</v>
      </c>
      <c r="BA120" s="603">
        <f t="shared" si="50"/>
        <v>942.34222222222229</v>
      </c>
    </row>
    <row r="121" spans="1:53">
      <c r="A121" s="593" t="s">
        <v>163</v>
      </c>
      <c r="B121" s="594" t="s">
        <v>976</v>
      </c>
      <c r="C121" s="615"/>
      <c r="D121" s="593">
        <v>136145</v>
      </c>
      <c r="E121" s="619">
        <v>10</v>
      </c>
      <c r="F121" s="586" t="s">
        <v>52</v>
      </c>
      <c r="G121" s="587" t="s">
        <v>52</v>
      </c>
      <c r="H121" s="588"/>
      <c r="I121" s="589"/>
      <c r="J121" s="588">
        <v>9996</v>
      </c>
      <c r="K121" s="589">
        <v>10776</v>
      </c>
      <c r="L121" s="588">
        <v>3812</v>
      </c>
      <c r="M121" s="589">
        <v>3901</v>
      </c>
      <c r="N121" s="588">
        <v>12128</v>
      </c>
      <c r="O121" s="589">
        <v>11642</v>
      </c>
      <c r="P121" s="601">
        <f t="shared" si="33"/>
        <v>25936</v>
      </c>
      <c r="Q121" s="602">
        <f t="shared" si="34"/>
        <v>864.5333333333333</v>
      </c>
      <c r="R121" s="603">
        <f t="shared" si="35"/>
        <v>26319</v>
      </c>
      <c r="S121" s="604">
        <f t="shared" si="36"/>
        <v>877.3</v>
      </c>
      <c r="T121" s="588">
        <v>3321</v>
      </c>
      <c r="U121" s="595">
        <v>3712</v>
      </c>
      <c r="V121" s="601">
        <f t="shared" si="37"/>
        <v>25936</v>
      </c>
      <c r="W121" s="605">
        <f t="shared" si="38"/>
        <v>26319</v>
      </c>
      <c r="X121" s="590"/>
      <c r="Y121" s="589"/>
      <c r="Z121" s="588">
        <v>54382</v>
      </c>
      <c r="AA121" s="589">
        <v>58213</v>
      </c>
      <c r="AB121" s="588">
        <v>15058</v>
      </c>
      <c r="AC121" s="589">
        <v>21125</v>
      </c>
      <c r="AD121" s="588">
        <v>52842</v>
      </c>
      <c r="AE121" s="589">
        <v>36927</v>
      </c>
      <c r="AF121" s="601">
        <f t="shared" si="39"/>
        <v>122282</v>
      </c>
      <c r="AG121" s="602">
        <f t="shared" si="40"/>
        <v>135.86888888888888</v>
      </c>
      <c r="AH121" s="603">
        <f t="shared" si="41"/>
        <v>116265</v>
      </c>
      <c r="AI121" s="603">
        <f t="shared" si="42"/>
        <v>129.18333333333334</v>
      </c>
      <c r="AJ121" s="588">
        <v>360</v>
      </c>
      <c r="AK121" s="589">
        <v>590</v>
      </c>
      <c r="AL121" s="601">
        <f t="shared" si="43"/>
        <v>122282</v>
      </c>
      <c r="AM121" s="604">
        <f t="shared" si="44"/>
        <v>116265</v>
      </c>
      <c r="AN121" s="591"/>
      <c r="AO121" s="592"/>
      <c r="AP121" s="588"/>
      <c r="AQ121" s="592"/>
      <c r="AR121" s="588"/>
      <c r="AS121" s="592"/>
      <c r="AT121" s="588"/>
      <c r="AU121" s="592"/>
      <c r="AV121" s="601">
        <f t="shared" si="45"/>
        <v>0</v>
      </c>
      <c r="AW121" s="609">
        <f t="shared" si="46"/>
        <v>0</v>
      </c>
      <c r="AX121" s="603">
        <f t="shared" si="47"/>
        <v>0</v>
      </c>
      <c r="AY121" s="610">
        <f t="shared" si="48"/>
        <v>0</v>
      </c>
      <c r="AZ121" s="611">
        <f t="shared" si="49"/>
        <v>1000.4022222222222</v>
      </c>
      <c r="BA121" s="603">
        <f t="shared" si="50"/>
        <v>1006.4833333333333</v>
      </c>
    </row>
    <row r="122" spans="1:53">
      <c r="A122" s="372" t="s">
        <v>158</v>
      </c>
      <c r="B122" s="373" t="s">
        <v>328</v>
      </c>
      <c r="C122" s="374"/>
      <c r="D122" s="372">
        <v>139940</v>
      </c>
      <c r="E122" s="372">
        <v>1</v>
      </c>
      <c r="F122" s="296" t="s">
        <v>52</v>
      </c>
      <c r="G122" s="297" t="s">
        <v>52</v>
      </c>
      <c r="H122" s="298"/>
      <c r="I122" s="299"/>
      <c r="J122" s="298">
        <v>272874.5</v>
      </c>
      <c r="K122" s="299">
        <f>148480.5+126921.5</f>
        <v>275402</v>
      </c>
      <c r="L122" s="298">
        <v>78530</v>
      </c>
      <c r="M122" s="299">
        <f>37229+41562</f>
        <v>78791</v>
      </c>
      <c r="N122" s="298">
        <v>290434.5</v>
      </c>
      <c r="O122" s="299">
        <f>166819.5+127585.5</f>
        <v>294405</v>
      </c>
      <c r="P122" s="601">
        <f t="shared" si="33"/>
        <v>641839</v>
      </c>
      <c r="Q122" s="602">
        <f t="shared" si="34"/>
        <v>21394.633333333335</v>
      </c>
      <c r="R122" s="603">
        <f t="shared" si="35"/>
        <v>648598</v>
      </c>
      <c r="S122" s="604">
        <f t="shared" si="36"/>
        <v>21619.933333333334</v>
      </c>
      <c r="T122" s="298">
        <v>1792.5</v>
      </c>
      <c r="U122" s="299">
        <v>1532.5</v>
      </c>
      <c r="V122" s="601">
        <f t="shared" si="37"/>
        <v>641839</v>
      </c>
      <c r="W122" s="605">
        <f t="shared" si="38"/>
        <v>648598</v>
      </c>
      <c r="X122" s="305"/>
      <c r="Y122" s="299"/>
      <c r="Z122" s="298"/>
      <c r="AA122" s="299"/>
      <c r="AB122" s="298"/>
      <c r="AC122" s="299"/>
      <c r="AD122" s="298"/>
      <c r="AE122" s="299"/>
      <c r="AF122" s="601">
        <f t="shared" si="39"/>
        <v>0</v>
      </c>
      <c r="AG122" s="602">
        <f t="shared" si="40"/>
        <v>0</v>
      </c>
      <c r="AH122" s="603">
        <f t="shared" si="41"/>
        <v>0</v>
      </c>
      <c r="AI122" s="603">
        <f t="shared" si="42"/>
        <v>0</v>
      </c>
      <c r="AJ122" s="298"/>
      <c r="AK122" s="299"/>
      <c r="AL122" s="601">
        <f t="shared" si="43"/>
        <v>0</v>
      </c>
      <c r="AM122" s="604">
        <f t="shared" si="44"/>
        <v>0</v>
      </c>
      <c r="AN122" s="306"/>
      <c r="AO122" s="307"/>
      <c r="AP122" s="298">
        <v>85403</v>
      </c>
      <c r="AQ122" s="307">
        <v>87459.5</v>
      </c>
      <c r="AR122" s="298">
        <v>49437.5</v>
      </c>
      <c r="AS122" s="307">
        <v>49381</v>
      </c>
      <c r="AT122" s="298">
        <v>89832</v>
      </c>
      <c r="AU122" s="307">
        <v>90191</v>
      </c>
      <c r="AV122" s="601">
        <f t="shared" si="45"/>
        <v>224672.5</v>
      </c>
      <c r="AW122" s="609">
        <f t="shared" si="46"/>
        <v>9361.3541666666661</v>
      </c>
      <c r="AX122" s="603">
        <f t="shared" si="47"/>
        <v>227031.5</v>
      </c>
      <c r="AY122" s="610">
        <f t="shared" si="48"/>
        <v>9459.6458333333339</v>
      </c>
      <c r="AZ122" s="611">
        <f t="shared" si="49"/>
        <v>30755.987500000003</v>
      </c>
      <c r="BA122" s="603">
        <f t="shared" si="50"/>
        <v>31079.57916666667</v>
      </c>
    </row>
    <row r="123" spans="1:53">
      <c r="A123" s="372" t="s">
        <v>158</v>
      </c>
      <c r="B123" s="373" t="s">
        <v>329</v>
      </c>
      <c r="C123" s="374"/>
      <c r="D123" s="372">
        <v>139959</v>
      </c>
      <c r="E123" s="372">
        <v>1</v>
      </c>
      <c r="F123" s="296" t="s">
        <v>52</v>
      </c>
      <c r="G123" s="297" t="s">
        <v>52</v>
      </c>
      <c r="H123" s="298"/>
      <c r="I123" s="299"/>
      <c r="J123" s="298">
        <v>340046</v>
      </c>
      <c r="K123" s="299">
        <f>170337+164182</f>
        <v>334519</v>
      </c>
      <c r="L123" s="298">
        <v>61617</v>
      </c>
      <c r="M123" s="299">
        <f>24412+32356.5</f>
        <v>56768.5</v>
      </c>
      <c r="N123" s="298">
        <v>351467</v>
      </c>
      <c r="O123" s="299">
        <f>204038+155733.6</f>
        <v>359771.6</v>
      </c>
      <c r="P123" s="601">
        <f t="shared" si="33"/>
        <v>753130</v>
      </c>
      <c r="Q123" s="602">
        <f t="shared" si="34"/>
        <v>25104.333333333332</v>
      </c>
      <c r="R123" s="603">
        <f t="shared" si="35"/>
        <v>751059.1</v>
      </c>
      <c r="S123" s="604">
        <f t="shared" si="36"/>
        <v>25035.303333333333</v>
      </c>
      <c r="T123" s="298">
        <v>150</v>
      </c>
      <c r="U123" s="299">
        <v>245</v>
      </c>
      <c r="V123" s="601">
        <f t="shared" si="37"/>
        <v>753130</v>
      </c>
      <c r="W123" s="605">
        <f t="shared" si="38"/>
        <v>751059.1</v>
      </c>
      <c r="X123" s="305"/>
      <c r="Y123" s="299"/>
      <c r="Z123" s="298"/>
      <c r="AA123" s="299"/>
      <c r="AB123" s="298"/>
      <c r="AC123" s="299"/>
      <c r="AD123" s="298"/>
      <c r="AE123" s="299"/>
      <c r="AF123" s="601">
        <f t="shared" si="39"/>
        <v>0</v>
      </c>
      <c r="AG123" s="602">
        <f t="shared" si="40"/>
        <v>0</v>
      </c>
      <c r="AH123" s="603">
        <f t="shared" si="41"/>
        <v>0</v>
      </c>
      <c r="AI123" s="603">
        <f t="shared" si="42"/>
        <v>0</v>
      </c>
      <c r="AJ123" s="298"/>
      <c r="AK123" s="299"/>
      <c r="AL123" s="601">
        <f t="shared" si="43"/>
        <v>0</v>
      </c>
      <c r="AM123" s="604">
        <f t="shared" si="44"/>
        <v>0</v>
      </c>
      <c r="AN123" s="306"/>
      <c r="AO123" s="307"/>
      <c r="AP123" s="298">
        <v>98026.6</v>
      </c>
      <c r="AQ123" s="307">
        <v>99386.2</v>
      </c>
      <c r="AR123" s="298">
        <v>40002</v>
      </c>
      <c r="AS123" s="307">
        <v>39236</v>
      </c>
      <c r="AT123" s="298">
        <v>103446.9</v>
      </c>
      <c r="AU123" s="307">
        <v>104179.8</v>
      </c>
      <c r="AV123" s="601">
        <f t="shared" si="45"/>
        <v>241475.5</v>
      </c>
      <c r="AW123" s="609">
        <f t="shared" si="46"/>
        <v>10061.479166666666</v>
      </c>
      <c r="AX123" s="603">
        <f t="shared" si="47"/>
        <v>242802</v>
      </c>
      <c r="AY123" s="610">
        <f t="shared" si="48"/>
        <v>10116.75</v>
      </c>
      <c r="AZ123" s="611">
        <f t="shared" si="49"/>
        <v>35165.8125</v>
      </c>
      <c r="BA123" s="603">
        <f t="shared" si="50"/>
        <v>35152.05333333333</v>
      </c>
    </row>
    <row r="124" spans="1:53">
      <c r="A124" s="372" t="s">
        <v>158</v>
      </c>
      <c r="B124" s="373" t="s">
        <v>330</v>
      </c>
      <c r="C124" s="374"/>
      <c r="D124" s="372">
        <v>139755</v>
      </c>
      <c r="E124" s="372">
        <v>2</v>
      </c>
      <c r="F124" s="296" t="s">
        <v>52</v>
      </c>
      <c r="G124" s="297" t="s">
        <v>52</v>
      </c>
      <c r="H124" s="298"/>
      <c r="I124" s="299"/>
      <c r="J124" s="298">
        <v>174280</v>
      </c>
      <c r="K124" s="299">
        <f>94878+80056</f>
        <v>174934</v>
      </c>
      <c r="L124" s="298">
        <v>46102</v>
      </c>
      <c r="M124" s="299">
        <f>23859+21616</f>
        <v>45475</v>
      </c>
      <c r="N124" s="298">
        <v>188856</v>
      </c>
      <c r="O124" s="299">
        <f>111534+80482</f>
        <v>192016</v>
      </c>
      <c r="P124" s="601">
        <f t="shared" si="33"/>
        <v>409238</v>
      </c>
      <c r="Q124" s="602">
        <f t="shared" si="34"/>
        <v>13641.266666666666</v>
      </c>
      <c r="R124" s="603">
        <f t="shared" si="35"/>
        <v>412425</v>
      </c>
      <c r="S124" s="604">
        <f t="shared" si="36"/>
        <v>13747.5</v>
      </c>
      <c r="T124" s="298">
        <v>1950</v>
      </c>
      <c r="U124" s="299">
        <v>2210</v>
      </c>
      <c r="V124" s="601">
        <f t="shared" si="37"/>
        <v>409238</v>
      </c>
      <c r="W124" s="605">
        <f t="shared" si="38"/>
        <v>412425</v>
      </c>
      <c r="X124" s="305"/>
      <c r="Y124" s="299"/>
      <c r="Z124" s="298"/>
      <c r="AA124" s="299"/>
      <c r="AB124" s="298"/>
      <c r="AC124" s="299"/>
      <c r="AD124" s="298"/>
      <c r="AE124" s="299"/>
      <c r="AF124" s="601">
        <f t="shared" si="39"/>
        <v>0</v>
      </c>
      <c r="AG124" s="602">
        <f t="shared" si="40"/>
        <v>0</v>
      </c>
      <c r="AH124" s="603">
        <f t="shared" si="41"/>
        <v>0</v>
      </c>
      <c r="AI124" s="603">
        <f t="shared" si="42"/>
        <v>0</v>
      </c>
      <c r="AJ124" s="298"/>
      <c r="AK124" s="299"/>
      <c r="AL124" s="601">
        <f t="shared" si="43"/>
        <v>0</v>
      </c>
      <c r="AM124" s="604">
        <f t="shared" si="44"/>
        <v>0</v>
      </c>
      <c r="AN124" s="306"/>
      <c r="AO124" s="307"/>
      <c r="AP124" s="298">
        <v>90181.5</v>
      </c>
      <c r="AQ124" s="307">
        <v>91420.5</v>
      </c>
      <c r="AR124" s="298">
        <v>43665</v>
      </c>
      <c r="AS124" s="307">
        <v>44087.5</v>
      </c>
      <c r="AT124" s="298">
        <v>98025</v>
      </c>
      <c r="AU124" s="307">
        <v>99332</v>
      </c>
      <c r="AV124" s="601">
        <f t="shared" si="45"/>
        <v>231871.5</v>
      </c>
      <c r="AW124" s="609">
        <f t="shared" si="46"/>
        <v>9661.3125</v>
      </c>
      <c r="AX124" s="603">
        <f t="shared" si="47"/>
        <v>234840</v>
      </c>
      <c r="AY124" s="610">
        <f t="shared" si="48"/>
        <v>9785</v>
      </c>
      <c r="AZ124" s="611">
        <f t="shared" si="49"/>
        <v>23302.579166666666</v>
      </c>
      <c r="BA124" s="603">
        <f t="shared" si="50"/>
        <v>23532.5</v>
      </c>
    </row>
    <row r="125" spans="1:53">
      <c r="A125" s="372" t="s">
        <v>158</v>
      </c>
      <c r="B125" s="373" t="s">
        <v>331</v>
      </c>
      <c r="C125" s="374"/>
      <c r="D125" s="372">
        <v>139931</v>
      </c>
      <c r="E125" s="372">
        <v>3</v>
      </c>
      <c r="F125" s="296" t="s">
        <v>52</v>
      </c>
      <c r="G125" s="297" t="s">
        <v>52</v>
      </c>
      <c r="H125" s="298"/>
      <c r="I125" s="299"/>
      <c r="J125" s="298">
        <v>205502</v>
      </c>
      <c r="K125" s="299">
        <f>137633+73561.5</f>
        <v>211194.5</v>
      </c>
      <c r="L125" s="298">
        <v>59225</v>
      </c>
      <c r="M125" s="299">
        <f>37606+24060</f>
        <v>61666</v>
      </c>
      <c r="N125" s="298">
        <v>230015</v>
      </c>
      <c r="O125" s="299">
        <f>160183+73214</f>
        <v>233397</v>
      </c>
      <c r="P125" s="601">
        <f t="shared" si="33"/>
        <v>494742</v>
      </c>
      <c r="Q125" s="602">
        <f t="shared" si="34"/>
        <v>16491.400000000001</v>
      </c>
      <c r="R125" s="603">
        <f t="shared" si="35"/>
        <v>506257.5</v>
      </c>
      <c r="S125" s="604">
        <f t="shared" si="36"/>
        <v>16875.25</v>
      </c>
      <c r="T125" s="298">
        <v>1610</v>
      </c>
      <c r="U125" s="299">
        <v>1921</v>
      </c>
      <c r="V125" s="601">
        <f t="shared" si="37"/>
        <v>494742</v>
      </c>
      <c r="W125" s="605">
        <f t="shared" si="38"/>
        <v>506257.5</v>
      </c>
      <c r="X125" s="305"/>
      <c r="Y125" s="299"/>
      <c r="Z125" s="298"/>
      <c r="AA125" s="299"/>
      <c r="AB125" s="298"/>
      <c r="AC125" s="299"/>
      <c r="AD125" s="298"/>
      <c r="AE125" s="299"/>
      <c r="AF125" s="601">
        <f t="shared" si="39"/>
        <v>0</v>
      </c>
      <c r="AG125" s="602">
        <f t="shared" si="40"/>
        <v>0</v>
      </c>
      <c r="AH125" s="603">
        <f t="shared" si="41"/>
        <v>0</v>
      </c>
      <c r="AI125" s="603">
        <f t="shared" si="42"/>
        <v>0</v>
      </c>
      <c r="AJ125" s="298"/>
      <c r="AK125" s="299"/>
      <c r="AL125" s="601">
        <f t="shared" si="43"/>
        <v>0</v>
      </c>
      <c r="AM125" s="604">
        <f t="shared" si="44"/>
        <v>0</v>
      </c>
      <c r="AN125" s="306"/>
      <c r="AO125" s="307"/>
      <c r="AP125" s="298">
        <v>16740</v>
      </c>
      <c r="AQ125" s="307">
        <v>16343</v>
      </c>
      <c r="AR125" s="298">
        <v>10768</v>
      </c>
      <c r="AS125" s="307">
        <v>11657</v>
      </c>
      <c r="AT125" s="298">
        <v>17278</v>
      </c>
      <c r="AU125" s="307">
        <v>17673</v>
      </c>
      <c r="AV125" s="601">
        <f t="shared" si="45"/>
        <v>44786</v>
      </c>
      <c r="AW125" s="609">
        <f t="shared" si="46"/>
        <v>1866.0833333333333</v>
      </c>
      <c r="AX125" s="603">
        <f t="shared" si="47"/>
        <v>45673</v>
      </c>
      <c r="AY125" s="610">
        <f t="shared" si="48"/>
        <v>1903.0416666666667</v>
      </c>
      <c r="AZ125" s="611">
        <f t="shared" si="49"/>
        <v>18357.483333333334</v>
      </c>
      <c r="BA125" s="603">
        <f t="shared" si="50"/>
        <v>18778.291666666668</v>
      </c>
    </row>
    <row r="126" spans="1:53">
      <c r="A126" s="372" t="s">
        <v>158</v>
      </c>
      <c r="B126" s="373" t="s">
        <v>332</v>
      </c>
      <c r="C126" s="374"/>
      <c r="D126" s="372">
        <v>141334</v>
      </c>
      <c r="E126" s="372">
        <v>3</v>
      </c>
      <c r="F126" s="296" t="s">
        <v>52</v>
      </c>
      <c r="G126" s="297" t="s">
        <v>52</v>
      </c>
      <c r="H126" s="298"/>
      <c r="I126" s="299"/>
      <c r="J126" s="298">
        <v>117328</v>
      </c>
      <c r="K126" s="299">
        <f>74162+42067</f>
        <v>116229</v>
      </c>
      <c r="L126" s="298">
        <v>32634</v>
      </c>
      <c r="M126" s="299">
        <f>18778+15131</f>
        <v>33909</v>
      </c>
      <c r="N126" s="298">
        <v>125774</v>
      </c>
      <c r="O126" s="299">
        <f>84191+44466</f>
        <v>128657</v>
      </c>
      <c r="P126" s="601">
        <f t="shared" si="33"/>
        <v>275736</v>
      </c>
      <c r="Q126" s="602">
        <f t="shared" si="34"/>
        <v>9191.2000000000007</v>
      </c>
      <c r="R126" s="603">
        <f t="shared" si="35"/>
        <v>278795</v>
      </c>
      <c r="S126" s="604">
        <f t="shared" si="36"/>
        <v>9293.1666666666661</v>
      </c>
      <c r="T126" s="298">
        <v>2672</v>
      </c>
      <c r="U126" s="299">
        <v>2573</v>
      </c>
      <c r="V126" s="601">
        <f t="shared" si="37"/>
        <v>275736</v>
      </c>
      <c r="W126" s="605">
        <f t="shared" si="38"/>
        <v>278795</v>
      </c>
      <c r="X126" s="305"/>
      <c r="Y126" s="299"/>
      <c r="Z126" s="298"/>
      <c r="AA126" s="299"/>
      <c r="AB126" s="298"/>
      <c r="AC126" s="299"/>
      <c r="AD126" s="298"/>
      <c r="AE126" s="299"/>
      <c r="AF126" s="601">
        <f t="shared" si="39"/>
        <v>0</v>
      </c>
      <c r="AG126" s="602">
        <f t="shared" si="40"/>
        <v>0</v>
      </c>
      <c r="AH126" s="603">
        <f t="shared" si="41"/>
        <v>0</v>
      </c>
      <c r="AI126" s="603">
        <f t="shared" si="42"/>
        <v>0</v>
      </c>
      <c r="AJ126" s="298"/>
      <c r="AK126" s="299"/>
      <c r="AL126" s="601">
        <f t="shared" si="43"/>
        <v>0</v>
      </c>
      <c r="AM126" s="604">
        <f t="shared" si="44"/>
        <v>0</v>
      </c>
      <c r="AN126" s="306"/>
      <c r="AO126" s="307"/>
      <c r="AP126" s="298">
        <v>9841</v>
      </c>
      <c r="AQ126" s="307">
        <v>8800</v>
      </c>
      <c r="AR126" s="298">
        <v>7411</v>
      </c>
      <c r="AS126" s="307">
        <v>6858</v>
      </c>
      <c r="AT126" s="298">
        <v>9178</v>
      </c>
      <c r="AU126" s="307">
        <v>9888</v>
      </c>
      <c r="AV126" s="601">
        <f t="shared" si="45"/>
        <v>26430</v>
      </c>
      <c r="AW126" s="609">
        <f t="shared" si="46"/>
        <v>1101.25</v>
      </c>
      <c r="AX126" s="603">
        <f t="shared" si="47"/>
        <v>25546</v>
      </c>
      <c r="AY126" s="610">
        <f t="shared" si="48"/>
        <v>1064.4166666666667</v>
      </c>
      <c r="AZ126" s="611">
        <f t="shared" si="49"/>
        <v>10292.450000000001</v>
      </c>
      <c r="BA126" s="603">
        <f t="shared" si="50"/>
        <v>10357.583333333332</v>
      </c>
    </row>
    <row r="127" spans="1:53">
      <c r="A127" s="372" t="s">
        <v>158</v>
      </c>
      <c r="B127" s="373" t="s">
        <v>333</v>
      </c>
      <c r="C127" s="374"/>
      <c r="D127" s="372">
        <v>141264</v>
      </c>
      <c r="E127" s="372">
        <v>3</v>
      </c>
      <c r="F127" s="296" t="s">
        <v>52</v>
      </c>
      <c r="G127" s="297" t="s">
        <v>52</v>
      </c>
      <c r="H127" s="298"/>
      <c r="I127" s="299"/>
      <c r="J127" s="298">
        <v>130748</v>
      </c>
      <c r="K127" s="299">
        <f>85752+47220</f>
        <v>132972</v>
      </c>
      <c r="L127" s="298">
        <v>26477</v>
      </c>
      <c r="M127" s="299">
        <f>14834+12036</f>
        <v>26870</v>
      </c>
      <c r="N127" s="298">
        <v>142481</v>
      </c>
      <c r="O127" s="299">
        <f>93232+46253</f>
        <v>139485</v>
      </c>
      <c r="P127" s="601">
        <f t="shared" si="33"/>
        <v>299706</v>
      </c>
      <c r="Q127" s="602">
        <f t="shared" si="34"/>
        <v>9990.2000000000007</v>
      </c>
      <c r="R127" s="603">
        <f t="shared" si="35"/>
        <v>299327</v>
      </c>
      <c r="S127" s="604">
        <f t="shared" si="36"/>
        <v>9977.5666666666675</v>
      </c>
      <c r="T127" s="298">
        <v>231</v>
      </c>
      <c r="U127" s="299">
        <v>269</v>
      </c>
      <c r="V127" s="601">
        <f t="shared" si="37"/>
        <v>299706</v>
      </c>
      <c r="W127" s="605">
        <f t="shared" si="38"/>
        <v>299327</v>
      </c>
      <c r="X127" s="305"/>
      <c r="Y127" s="299"/>
      <c r="Z127" s="298"/>
      <c r="AA127" s="299"/>
      <c r="AB127" s="298"/>
      <c r="AC127" s="299"/>
      <c r="AD127" s="298"/>
      <c r="AE127" s="299"/>
      <c r="AF127" s="601">
        <f t="shared" si="39"/>
        <v>0</v>
      </c>
      <c r="AG127" s="602">
        <f t="shared" si="40"/>
        <v>0</v>
      </c>
      <c r="AH127" s="603">
        <f t="shared" si="41"/>
        <v>0</v>
      </c>
      <c r="AI127" s="603">
        <f t="shared" si="42"/>
        <v>0</v>
      </c>
      <c r="AJ127" s="298"/>
      <c r="AK127" s="299"/>
      <c r="AL127" s="601">
        <f t="shared" si="43"/>
        <v>0</v>
      </c>
      <c r="AM127" s="604">
        <f t="shared" si="44"/>
        <v>0</v>
      </c>
      <c r="AN127" s="306"/>
      <c r="AO127" s="307"/>
      <c r="AP127" s="298">
        <v>13982</v>
      </c>
      <c r="AQ127" s="307">
        <v>15081</v>
      </c>
      <c r="AR127" s="298">
        <v>9767</v>
      </c>
      <c r="AS127" s="307">
        <v>12012</v>
      </c>
      <c r="AT127" s="298">
        <v>14512</v>
      </c>
      <c r="AU127" s="307">
        <v>15975</v>
      </c>
      <c r="AV127" s="601">
        <f t="shared" si="45"/>
        <v>38261</v>
      </c>
      <c r="AW127" s="609">
        <f t="shared" si="46"/>
        <v>1594.2083333333333</v>
      </c>
      <c r="AX127" s="603">
        <f t="shared" si="47"/>
        <v>43068</v>
      </c>
      <c r="AY127" s="610">
        <f t="shared" si="48"/>
        <v>1794.5</v>
      </c>
      <c r="AZ127" s="611">
        <f t="shared" si="49"/>
        <v>11584.408333333335</v>
      </c>
      <c r="BA127" s="603">
        <f t="shared" si="50"/>
        <v>11772.066666666668</v>
      </c>
    </row>
    <row r="128" spans="1:53">
      <c r="A128" s="372" t="s">
        <v>158</v>
      </c>
      <c r="B128" s="373" t="s">
        <v>334</v>
      </c>
      <c r="C128" s="374"/>
      <c r="D128" s="372">
        <v>138716</v>
      </c>
      <c r="E128" s="372">
        <v>4</v>
      </c>
      <c r="F128" s="296" t="s">
        <v>52</v>
      </c>
      <c r="G128" s="297" t="s">
        <v>52</v>
      </c>
      <c r="H128" s="298"/>
      <c r="I128" s="299"/>
      <c r="J128" s="298">
        <v>50049</v>
      </c>
      <c r="K128" s="299">
        <f>34015+16788</f>
        <v>50803</v>
      </c>
      <c r="L128" s="298">
        <v>18468</v>
      </c>
      <c r="M128" s="299">
        <f>13033+6377</f>
        <v>19410</v>
      </c>
      <c r="N128" s="298">
        <v>54588</v>
      </c>
      <c r="O128" s="299">
        <f>38881+15302</f>
        <v>54183</v>
      </c>
      <c r="P128" s="601">
        <f t="shared" si="33"/>
        <v>123105</v>
      </c>
      <c r="Q128" s="602">
        <f t="shared" si="34"/>
        <v>4103.5</v>
      </c>
      <c r="R128" s="603">
        <f t="shared" si="35"/>
        <v>124396</v>
      </c>
      <c r="S128" s="604">
        <f t="shared" si="36"/>
        <v>4146.5333333333338</v>
      </c>
      <c r="T128" s="298">
        <v>31</v>
      </c>
      <c r="U128" s="299">
        <v>37</v>
      </c>
      <c r="V128" s="601">
        <f t="shared" si="37"/>
        <v>123105</v>
      </c>
      <c r="W128" s="605">
        <f t="shared" si="38"/>
        <v>124396</v>
      </c>
      <c r="X128" s="305"/>
      <c r="Y128" s="299"/>
      <c r="Z128" s="298"/>
      <c r="AA128" s="299"/>
      <c r="AB128" s="298"/>
      <c r="AC128" s="299"/>
      <c r="AD128" s="298"/>
      <c r="AE128" s="299"/>
      <c r="AF128" s="601">
        <f t="shared" si="39"/>
        <v>0</v>
      </c>
      <c r="AG128" s="602">
        <f t="shared" si="40"/>
        <v>0</v>
      </c>
      <c r="AH128" s="603">
        <f t="shared" si="41"/>
        <v>0</v>
      </c>
      <c r="AI128" s="603">
        <f t="shared" si="42"/>
        <v>0</v>
      </c>
      <c r="AJ128" s="298"/>
      <c r="AK128" s="299"/>
      <c r="AL128" s="601">
        <f t="shared" si="43"/>
        <v>0</v>
      </c>
      <c r="AM128" s="604">
        <f t="shared" si="44"/>
        <v>0</v>
      </c>
      <c r="AN128" s="306"/>
      <c r="AO128" s="307"/>
      <c r="AP128" s="298">
        <v>2798</v>
      </c>
      <c r="AQ128" s="307">
        <v>3017</v>
      </c>
      <c r="AR128" s="298">
        <v>1934</v>
      </c>
      <c r="AS128" s="307">
        <v>2224</v>
      </c>
      <c r="AT128" s="298">
        <v>3205</v>
      </c>
      <c r="AU128" s="307">
        <v>3327</v>
      </c>
      <c r="AV128" s="601">
        <f t="shared" si="45"/>
        <v>7937</v>
      </c>
      <c r="AW128" s="609">
        <f t="shared" si="46"/>
        <v>330.70833333333331</v>
      </c>
      <c r="AX128" s="603">
        <f t="shared" si="47"/>
        <v>8568</v>
      </c>
      <c r="AY128" s="610">
        <f t="shared" si="48"/>
        <v>357</v>
      </c>
      <c r="AZ128" s="611">
        <f t="shared" si="49"/>
        <v>4434.208333333333</v>
      </c>
      <c r="BA128" s="603">
        <f t="shared" si="50"/>
        <v>4503.5333333333338</v>
      </c>
    </row>
    <row r="129" spans="1:53">
      <c r="A129" s="372" t="s">
        <v>158</v>
      </c>
      <c r="B129" s="373" t="s">
        <v>335</v>
      </c>
      <c r="C129" s="374"/>
      <c r="D129" s="372">
        <v>138789</v>
      </c>
      <c r="E129" s="372">
        <v>4</v>
      </c>
      <c r="F129" s="296" t="s">
        <v>52</v>
      </c>
      <c r="G129" s="297" t="s">
        <v>52</v>
      </c>
      <c r="H129" s="298"/>
      <c r="I129" s="299"/>
      <c r="J129" s="298">
        <v>72463.3</v>
      </c>
      <c r="K129" s="299">
        <f>53775.4+22719</f>
        <v>76494.399999999994</v>
      </c>
      <c r="L129" s="298">
        <v>21244.799999999999</v>
      </c>
      <c r="M129" s="299">
        <f>14857+7373</f>
        <v>22230</v>
      </c>
      <c r="N129" s="298">
        <v>81381.600000000006</v>
      </c>
      <c r="O129" s="299">
        <f>57399+22480</f>
        <v>79879</v>
      </c>
      <c r="P129" s="601">
        <f t="shared" si="33"/>
        <v>175089.7</v>
      </c>
      <c r="Q129" s="602">
        <f t="shared" si="34"/>
        <v>5836.3233333333337</v>
      </c>
      <c r="R129" s="603">
        <f t="shared" si="35"/>
        <v>178603.4</v>
      </c>
      <c r="S129" s="604">
        <f t="shared" si="36"/>
        <v>5953.4466666666667</v>
      </c>
      <c r="T129" s="298">
        <v>928</v>
      </c>
      <c r="U129" s="299">
        <v>745</v>
      </c>
      <c r="V129" s="601">
        <f t="shared" si="37"/>
        <v>175089.7</v>
      </c>
      <c r="W129" s="605">
        <f t="shared" si="38"/>
        <v>178603.4</v>
      </c>
      <c r="X129" s="305"/>
      <c r="Y129" s="299"/>
      <c r="Z129" s="298"/>
      <c r="AA129" s="299"/>
      <c r="AB129" s="298"/>
      <c r="AC129" s="299"/>
      <c r="AD129" s="298"/>
      <c r="AE129" s="299"/>
      <c r="AF129" s="601">
        <f t="shared" si="39"/>
        <v>0</v>
      </c>
      <c r="AG129" s="602">
        <f t="shared" si="40"/>
        <v>0</v>
      </c>
      <c r="AH129" s="603">
        <f t="shared" si="41"/>
        <v>0</v>
      </c>
      <c r="AI129" s="603">
        <f t="shared" si="42"/>
        <v>0</v>
      </c>
      <c r="AJ129" s="298"/>
      <c r="AK129" s="299"/>
      <c r="AL129" s="601">
        <f t="shared" si="43"/>
        <v>0</v>
      </c>
      <c r="AM129" s="604">
        <f t="shared" si="44"/>
        <v>0</v>
      </c>
      <c r="AN129" s="306"/>
      <c r="AO129" s="307"/>
      <c r="AP129" s="298">
        <v>5770</v>
      </c>
      <c r="AQ129" s="307">
        <v>5032</v>
      </c>
      <c r="AR129" s="298">
        <v>3958</v>
      </c>
      <c r="AS129" s="307">
        <v>3282</v>
      </c>
      <c r="AT129" s="298">
        <v>5546</v>
      </c>
      <c r="AU129" s="307">
        <v>4853</v>
      </c>
      <c r="AV129" s="601">
        <f t="shared" si="45"/>
        <v>15274</v>
      </c>
      <c r="AW129" s="609">
        <f t="shared" si="46"/>
        <v>636.41666666666663</v>
      </c>
      <c r="AX129" s="603">
        <f t="shared" si="47"/>
        <v>13167</v>
      </c>
      <c r="AY129" s="610">
        <f t="shared" si="48"/>
        <v>548.625</v>
      </c>
      <c r="AZ129" s="611">
        <f t="shared" si="49"/>
        <v>6472.7400000000007</v>
      </c>
      <c r="BA129" s="603">
        <f t="shared" si="50"/>
        <v>6502.0716666666667</v>
      </c>
    </row>
    <row r="130" spans="1:53">
      <c r="A130" s="372" t="s">
        <v>158</v>
      </c>
      <c r="B130" s="373" t="s">
        <v>336</v>
      </c>
      <c r="C130" s="374"/>
      <c r="D130" s="372">
        <v>139366</v>
      </c>
      <c r="E130" s="372">
        <v>4</v>
      </c>
      <c r="F130" s="296" t="s">
        <v>52</v>
      </c>
      <c r="G130" s="297" t="s">
        <v>52</v>
      </c>
      <c r="H130" s="298"/>
      <c r="I130" s="299"/>
      <c r="J130" s="298">
        <v>79581</v>
      </c>
      <c r="K130" s="299">
        <f>50762+27604</f>
        <v>78366</v>
      </c>
      <c r="L130" s="298">
        <v>24072</v>
      </c>
      <c r="M130" s="299">
        <f>15559+7609</f>
        <v>23168</v>
      </c>
      <c r="N130" s="298">
        <v>82915</v>
      </c>
      <c r="O130" s="299">
        <f>55226+27951</f>
        <v>83177</v>
      </c>
      <c r="P130" s="601">
        <f t="shared" si="33"/>
        <v>186568</v>
      </c>
      <c r="Q130" s="602">
        <f t="shared" si="34"/>
        <v>6218.9333333333334</v>
      </c>
      <c r="R130" s="603">
        <f t="shared" si="35"/>
        <v>184711</v>
      </c>
      <c r="S130" s="604">
        <f t="shared" si="36"/>
        <v>6157.0333333333338</v>
      </c>
      <c r="T130" s="298">
        <v>860</v>
      </c>
      <c r="U130" s="299">
        <v>766</v>
      </c>
      <c r="V130" s="601">
        <f t="shared" si="37"/>
        <v>186568</v>
      </c>
      <c r="W130" s="605">
        <f t="shared" si="38"/>
        <v>184711</v>
      </c>
      <c r="X130" s="305"/>
      <c r="Y130" s="299"/>
      <c r="Z130" s="298"/>
      <c r="AA130" s="299"/>
      <c r="AB130" s="298"/>
      <c r="AC130" s="299"/>
      <c r="AD130" s="298"/>
      <c r="AE130" s="299"/>
      <c r="AF130" s="601">
        <f t="shared" si="39"/>
        <v>0</v>
      </c>
      <c r="AG130" s="602">
        <f t="shared" si="40"/>
        <v>0</v>
      </c>
      <c r="AH130" s="603">
        <f t="shared" si="41"/>
        <v>0</v>
      </c>
      <c r="AI130" s="603">
        <f t="shared" si="42"/>
        <v>0</v>
      </c>
      <c r="AJ130" s="298"/>
      <c r="AK130" s="299"/>
      <c r="AL130" s="601">
        <f t="shared" si="43"/>
        <v>0</v>
      </c>
      <c r="AM130" s="604">
        <f t="shared" si="44"/>
        <v>0</v>
      </c>
      <c r="AN130" s="306"/>
      <c r="AO130" s="307"/>
      <c r="AP130" s="298">
        <v>8092</v>
      </c>
      <c r="AQ130" s="307">
        <v>7799</v>
      </c>
      <c r="AR130" s="298">
        <v>4870</v>
      </c>
      <c r="AS130" s="307">
        <v>5414</v>
      </c>
      <c r="AT130" s="298">
        <v>8385</v>
      </c>
      <c r="AU130" s="307">
        <v>8343</v>
      </c>
      <c r="AV130" s="601">
        <f t="shared" si="45"/>
        <v>21347</v>
      </c>
      <c r="AW130" s="609">
        <f t="shared" si="46"/>
        <v>889.45833333333337</v>
      </c>
      <c r="AX130" s="603">
        <f t="shared" si="47"/>
        <v>21556</v>
      </c>
      <c r="AY130" s="610">
        <f t="shared" si="48"/>
        <v>898.16666666666663</v>
      </c>
      <c r="AZ130" s="611">
        <f t="shared" si="49"/>
        <v>7108.3916666666664</v>
      </c>
      <c r="BA130" s="603">
        <f t="shared" si="50"/>
        <v>7055.2000000000007</v>
      </c>
    </row>
    <row r="131" spans="1:53">
      <c r="A131" s="372" t="s">
        <v>158</v>
      </c>
      <c r="B131" s="373" t="s">
        <v>337</v>
      </c>
      <c r="C131" s="374"/>
      <c r="D131" s="372">
        <v>139861</v>
      </c>
      <c r="E131" s="372">
        <v>4</v>
      </c>
      <c r="F131" s="296" t="s">
        <v>52</v>
      </c>
      <c r="G131" s="297" t="s">
        <v>52</v>
      </c>
      <c r="H131" s="298"/>
      <c r="I131" s="299"/>
      <c r="J131" s="298">
        <v>72259</v>
      </c>
      <c r="K131" s="299">
        <f>43187+28878</f>
        <v>72065</v>
      </c>
      <c r="L131" s="298">
        <v>15858</v>
      </c>
      <c r="M131" s="299">
        <f>7503+8072</f>
        <v>15575</v>
      </c>
      <c r="N131" s="298">
        <v>78216</v>
      </c>
      <c r="O131" s="299">
        <f>49180.5+28761</f>
        <v>77941.5</v>
      </c>
      <c r="P131" s="601">
        <f t="shared" si="33"/>
        <v>166333</v>
      </c>
      <c r="Q131" s="602">
        <f t="shared" si="34"/>
        <v>5544.4333333333334</v>
      </c>
      <c r="R131" s="603">
        <f t="shared" si="35"/>
        <v>165581.5</v>
      </c>
      <c r="S131" s="604">
        <f t="shared" si="36"/>
        <v>5519.3833333333332</v>
      </c>
      <c r="T131" s="298">
        <v>634</v>
      </c>
      <c r="U131" s="299">
        <v>574</v>
      </c>
      <c r="V131" s="601">
        <f t="shared" si="37"/>
        <v>166333</v>
      </c>
      <c r="W131" s="605">
        <f t="shared" si="38"/>
        <v>165581.5</v>
      </c>
      <c r="X131" s="305"/>
      <c r="Y131" s="299"/>
      <c r="Z131" s="298"/>
      <c r="AA131" s="299"/>
      <c r="AB131" s="298"/>
      <c r="AC131" s="299"/>
      <c r="AD131" s="298"/>
      <c r="AE131" s="299"/>
      <c r="AF131" s="601">
        <f t="shared" si="39"/>
        <v>0</v>
      </c>
      <c r="AG131" s="602">
        <f t="shared" si="40"/>
        <v>0</v>
      </c>
      <c r="AH131" s="603">
        <f t="shared" si="41"/>
        <v>0</v>
      </c>
      <c r="AI131" s="603">
        <f t="shared" si="42"/>
        <v>0</v>
      </c>
      <c r="AJ131" s="298"/>
      <c r="AK131" s="299"/>
      <c r="AL131" s="601">
        <f t="shared" si="43"/>
        <v>0</v>
      </c>
      <c r="AM131" s="604">
        <f t="shared" si="44"/>
        <v>0</v>
      </c>
      <c r="AN131" s="306"/>
      <c r="AO131" s="307"/>
      <c r="AP131" s="298">
        <v>6944</v>
      </c>
      <c r="AQ131" s="307">
        <v>7029</v>
      </c>
      <c r="AR131" s="298">
        <v>5221</v>
      </c>
      <c r="AS131" s="307">
        <v>5101.5</v>
      </c>
      <c r="AT131" s="298">
        <v>7440</v>
      </c>
      <c r="AU131" s="307">
        <v>7359</v>
      </c>
      <c r="AV131" s="601">
        <f t="shared" si="45"/>
        <v>19605</v>
      </c>
      <c r="AW131" s="609">
        <f t="shared" si="46"/>
        <v>816.875</v>
      </c>
      <c r="AX131" s="603">
        <f t="shared" si="47"/>
        <v>19489.5</v>
      </c>
      <c r="AY131" s="610">
        <f t="shared" si="48"/>
        <v>812.0625</v>
      </c>
      <c r="AZ131" s="611">
        <f t="shared" si="49"/>
        <v>6361.3083333333334</v>
      </c>
      <c r="BA131" s="603">
        <f t="shared" si="50"/>
        <v>6331.4458333333332</v>
      </c>
    </row>
    <row r="132" spans="1:53">
      <c r="A132" s="372" t="s">
        <v>158</v>
      </c>
      <c r="B132" s="373" t="s">
        <v>338</v>
      </c>
      <c r="C132" s="374" t="s">
        <v>447</v>
      </c>
      <c r="D132" s="372">
        <v>140164</v>
      </c>
      <c r="E132" s="372">
        <v>4</v>
      </c>
      <c r="F132" s="296" t="s">
        <v>52</v>
      </c>
      <c r="G132" s="297" t="s">
        <v>52</v>
      </c>
      <c r="H132" s="298"/>
      <c r="I132" s="299"/>
      <c r="J132" s="298">
        <v>241792</v>
      </c>
      <c r="K132" s="299">
        <f>153548+97197</f>
        <v>250745</v>
      </c>
      <c r="L132" s="298">
        <v>77014</v>
      </c>
      <c r="M132" s="299">
        <f>39582+34887</f>
        <v>74469</v>
      </c>
      <c r="N132" s="298">
        <v>262278</v>
      </c>
      <c r="O132" s="299">
        <f>171698+98019</f>
        <v>269717</v>
      </c>
      <c r="P132" s="601">
        <f t="shared" si="33"/>
        <v>581084</v>
      </c>
      <c r="Q132" s="602">
        <f t="shared" si="34"/>
        <v>19369.466666666667</v>
      </c>
      <c r="R132" s="603">
        <f t="shared" si="35"/>
        <v>594931</v>
      </c>
      <c r="S132" s="604">
        <f t="shared" si="36"/>
        <v>19831.033333333333</v>
      </c>
      <c r="T132" s="298">
        <v>2709</v>
      </c>
      <c r="U132" s="299">
        <v>3558</v>
      </c>
      <c r="V132" s="601">
        <f t="shared" si="37"/>
        <v>581084</v>
      </c>
      <c r="W132" s="605">
        <f t="shared" si="38"/>
        <v>594931</v>
      </c>
      <c r="X132" s="305"/>
      <c r="Y132" s="299"/>
      <c r="Z132" s="298"/>
      <c r="AA132" s="299"/>
      <c r="AB132" s="298"/>
      <c r="AC132" s="299"/>
      <c r="AD132" s="298"/>
      <c r="AE132" s="299"/>
      <c r="AF132" s="601">
        <f t="shared" si="39"/>
        <v>0</v>
      </c>
      <c r="AG132" s="602">
        <f t="shared" si="40"/>
        <v>0</v>
      </c>
      <c r="AH132" s="603">
        <f t="shared" si="41"/>
        <v>0</v>
      </c>
      <c r="AI132" s="603">
        <f t="shared" si="42"/>
        <v>0</v>
      </c>
      <c r="AJ132" s="298"/>
      <c r="AK132" s="299"/>
      <c r="AL132" s="601">
        <f t="shared" si="43"/>
        <v>0</v>
      </c>
      <c r="AM132" s="604">
        <f t="shared" si="44"/>
        <v>0</v>
      </c>
      <c r="AN132" s="306"/>
      <c r="AO132" s="307"/>
      <c r="AP132" s="298">
        <v>14808</v>
      </c>
      <c r="AQ132" s="307">
        <v>13653</v>
      </c>
      <c r="AR132" s="298">
        <v>8711</v>
      </c>
      <c r="AS132" s="307">
        <v>7801</v>
      </c>
      <c r="AT132" s="298">
        <v>15087</v>
      </c>
      <c r="AU132" s="307">
        <v>13764</v>
      </c>
      <c r="AV132" s="601">
        <f t="shared" si="45"/>
        <v>38606</v>
      </c>
      <c r="AW132" s="609">
        <f t="shared" si="46"/>
        <v>1608.5833333333333</v>
      </c>
      <c r="AX132" s="603">
        <f t="shared" si="47"/>
        <v>35218</v>
      </c>
      <c r="AY132" s="610">
        <f t="shared" si="48"/>
        <v>1467.4166666666667</v>
      </c>
      <c r="AZ132" s="611">
        <f t="shared" si="49"/>
        <v>20978.05</v>
      </c>
      <c r="BA132" s="603">
        <f t="shared" si="50"/>
        <v>21298.45</v>
      </c>
    </row>
    <row r="133" spans="1:53">
      <c r="A133" s="372" t="s">
        <v>158</v>
      </c>
      <c r="B133" s="375" t="s">
        <v>339</v>
      </c>
      <c r="C133" s="374" t="s">
        <v>448</v>
      </c>
      <c r="D133" s="372">
        <v>138983</v>
      </c>
      <c r="E133" s="372">
        <v>5</v>
      </c>
      <c r="F133" s="296" t="s">
        <v>52</v>
      </c>
      <c r="G133" s="297" t="s">
        <v>52</v>
      </c>
      <c r="H133" s="298"/>
      <c r="I133" s="299"/>
      <c r="J133" s="298">
        <v>65976</v>
      </c>
      <c r="K133" s="299">
        <f>45486+20443</f>
        <v>65929</v>
      </c>
      <c r="L133" s="298">
        <v>18559</v>
      </c>
      <c r="M133" s="299">
        <f>12102+5163</f>
        <v>17265</v>
      </c>
      <c r="N133" s="298">
        <v>70294</v>
      </c>
      <c r="O133" s="299">
        <f>47506+20970</f>
        <v>68476</v>
      </c>
      <c r="P133" s="601">
        <f t="shared" si="33"/>
        <v>154829</v>
      </c>
      <c r="Q133" s="602">
        <f t="shared" si="34"/>
        <v>5160.9666666666662</v>
      </c>
      <c r="R133" s="603">
        <f t="shared" si="35"/>
        <v>151670</v>
      </c>
      <c r="S133" s="604">
        <f t="shared" si="36"/>
        <v>5055.666666666667</v>
      </c>
      <c r="T133" s="298">
        <v>923</v>
      </c>
      <c r="U133" s="299">
        <v>844</v>
      </c>
      <c r="V133" s="601">
        <f t="shared" si="37"/>
        <v>154829</v>
      </c>
      <c r="W133" s="605">
        <f t="shared" si="38"/>
        <v>151670</v>
      </c>
      <c r="X133" s="305"/>
      <c r="Y133" s="299"/>
      <c r="Z133" s="298"/>
      <c r="AA133" s="299"/>
      <c r="AB133" s="298"/>
      <c r="AC133" s="299"/>
      <c r="AD133" s="298"/>
      <c r="AE133" s="299"/>
      <c r="AF133" s="601">
        <f t="shared" si="39"/>
        <v>0</v>
      </c>
      <c r="AG133" s="602">
        <f t="shared" si="40"/>
        <v>0</v>
      </c>
      <c r="AH133" s="603">
        <f t="shared" si="41"/>
        <v>0</v>
      </c>
      <c r="AI133" s="603">
        <f t="shared" si="42"/>
        <v>0</v>
      </c>
      <c r="AJ133" s="298"/>
      <c r="AK133" s="299"/>
      <c r="AL133" s="601">
        <f t="shared" si="43"/>
        <v>0</v>
      </c>
      <c r="AM133" s="604">
        <f t="shared" si="44"/>
        <v>0</v>
      </c>
      <c r="AN133" s="306"/>
      <c r="AO133" s="307"/>
      <c r="AP133" s="298">
        <v>7415</v>
      </c>
      <c r="AQ133" s="307">
        <v>6120</v>
      </c>
      <c r="AR133" s="298">
        <v>4654</v>
      </c>
      <c r="AS133" s="307">
        <v>3620</v>
      </c>
      <c r="AT133" s="298">
        <v>6474</v>
      </c>
      <c r="AU133" s="307">
        <v>5852</v>
      </c>
      <c r="AV133" s="601">
        <f t="shared" si="45"/>
        <v>18543</v>
      </c>
      <c r="AW133" s="609">
        <f t="shared" si="46"/>
        <v>772.625</v>
      </c>
      <c r="AX133" s="603">
        <f t="shared" si="47"/>
        <v>15592</v>
      </c>
      <c r="AY133" s="610">
        <f t="shared" si="48"/>
        <v>649.66666666666663</v>
      </c>
      <c r="AZ133" s="611">
        <f t="shared" si="49"/>
        <v>5933.5916666666662</v>
      </c>
      <c r="BA133" s="603">
        <f t="shared" si="50"/>
        <v>5705.3333333333339</v>
      </c>
    </row>
    <row r="134" spans="1:53">
      <c r="A134" s="372" t="s">
        <v>158</v>
      </c>
      <c r="B134" s="375" t="s">
        <v>344</v>
      </c>
      <c r="C134" s="419" t="s">
        <v>449</v>
      </c>
      <c r="D134" s="372">
        <v>139311</v>
      </c>
      <c r="E134" s="420">
        <v>5</v>
      </c>
      <c r="F134" s="296" t="s">
        <v>52</v>
      </c>
      <c r="G134" s="297" t="s">
        <v>52</v>
      </c>
      <c r="H134" s="298"/>
      <c r="I134" s="299"/>
      <c r="J134" s="298">
        <v>70958</v>
      </c>
      <c r="K134" s="299">
        <f>40734+29280</f>
        <v>70014</v>
      </c>
      <c r="L134" s="298">
        <v>28536</v>
      </c>
      <c r="M134" s="299">
        <f>15695+13077</f>
        <v>28772</v>
      </c>
      <c r="N134" s="298">
        <v>69440</v>
      </c>
      <c r="O134" s="299">
        <f>42251+28631</f>
        <v>70882</v>
      </c>
      <c r="P134" s="601">
        <f t="shared" si="33"/>
        <v>168934</v>
      </c>
      <c r="Q134" s="602">
        <f t="shared" si="34"/>
        <v>5631.1333333333332</v>
      </c>
      <c r="R134" s="603">
        <f t="shared" si="35"/>
        <v>169668</v>
      </c>
      <c r="S134" s="604">
        <f t="shared" si="36"/>
        <v>5655.6</v>
      </c>
      <c r="T134" s="298">
        <v>4142</v>
      </c>
      <c r="U134" s="299">
        <v>4597</v>
      </c>
      <c r="V134" s="601">
        <f t="shared" si="37"/>
        <v>168934</v>
      </c>
      <c r="W134" s="605">
        <f t="shared" si="38"/>
        <v>169668</v>
      </c>
      <c r="X134" s="305"/>
      <c r="Y134" s="299"/>
      <c r="Z134" s="298"/>
      <c r="AA134" s="299"/>
      <c r="AB134" s="298"/>
      <c r="AC134" s="299"/>
      <c r="AD134" s="298"/>
      <c r="AE134" s="299"/>
      <c r="AF134" s="601">
        <f t="shared" si="39"/>
        <v>0</v>
      </c>
      <c r="AG134" s="602">
        <f t="shared" si="40"/>
        <v>0</v>
      </c>
      <c r="AH134" s="603">
        <f t="shared" si="41"/>
        <v>0</v>
      </c>
      <c r="AI134" s="603">
        <f t="shared" si="42"/>
        <v>0</v>
      </c>
      <c r="AJ134" s="298"/>
      <c r="AK134" s="299"/>
      <c r="AL134" s="601">
        <f t="shared" si="43"/>
        <v>0</v>
      </c>
      <c r="AM134" s="604">
        <f t="shared" si="44"/>
        <v>0</v>
      </c>
      <c r="AN134" s="306"/>
      <c r="AO134" s="307"/>
      <c r="AP134" s="298">
        <v>1241</v>
      </c>
      <c r="AQ134" s="307">
        <v>1793</v>
      </c>
      <c r="AR134" s="298">
        <v>965</v>
      </c>
      <c r="AS134" s="307">
        <v>1135</v>
      </c>
      <c r="AT134" s="298">
        <v>1599</v>
      </c>
      <c r="AU134" s="307">
        <v>2139</v>
      </c>
      <c r="AV134" s="601">
        <f t="shared" si="45"/>
        <v>3805</v>
      </c>
      <c r="AW134" s="609">
        <f t="shared" si="46"/>
        <v>158.54166666666666</v>
      </c>
      <c r="AX134" s="603">
        <f t="shared" si="47"/>
        <v>5067</v>
      </c>
      <c r="AY134" s="610">
        <f t="shared" si="48"/>
        <v>211.125</v>
      </c>
      <c r="AZ134" s="611">
        <f t="shared" si="49"/>
        <v>5789.6750000000002</v>
      </c>
      <c r="BA134" s="603">
        <f t="shared" si="50"/>
        <v>5866.7250000000004</v>
      </c>
    </row>
    <row r="135" spans="1:53">
      <c r="A135" s="372" t="s">
        <v>158</v>
      </c>
      <c r="B135" s="373" t="s">
        <v>340</v>
      </c>
      <c r="C135" s="374"/>
      <c r="D135" s="372">
        <v>139719</v>
      </c>
      <c r="E135" s="372">
        <v>5</v>
      </c>
      <c r="F135" s="296" t="s">
        <v>52</v>
      </c>
      <c r="G135" s="297" t="s">
        <v>52</v>
      </c>
      <c r="H135" s="298"/>
      <c r="I135" s="299"/>
      <c r="J135" s="298">
        <v>45001</v>
      </c>
      <c r="K135" s="299">
        <f>32506+10992</f>
        <v>43498</v>
      </c>
      <c r="L135" s="298">
        <v>11156</v>
      </c>
      <c r="M135" s="299">
        <f>7381+3191</f>
        <v>10572</v>
      </c>
      <c r="N135" s="298">
        <v>45899</v>
      </c>
      <c r="O135" s="299">
        <f>36627+11713</f>
        <v>48340</v>
      </c>
      <c r="P135" s="601">
        <f t="shared" ref="P135:P198" si="51">SUM(H135,J135,L135,N135)</f>
        <v>102056</v>
      </c>
      <c r="Q135" s="602">
        <f t="shared" ref="Q135:Q198" si="52">+P135/30</f>
        <v>3401.8666666666668</v>
      </c>
      <c r="R135" s="603">
        <f t="shared" ref="R135:R198" si="53">SUM(I135,K135,M135,O135)</f>
        <v>102410</v>
      </c>
      <c r="S135" s="604">
        <f t="shared" ref="S135:S198" si="54">+R135/30</f>
        <v>3413.6666666666665</v>
      </c>
      <c r="T135" s="298">
        <v>203</v>
      </c>
      <c r="U135" s="299">
        <v>265</v>
      </c>
      <c r="V135" s="601">
        <f t="shared" ref="V135:V198" si="55">IF(ISBLANK(T135),0,P135)</f>
        <v>102056</v>
      </c>
      <c r="W135" s="605">
        <f t="shared" ref="W135:W198" si="56">IF(ISBLANK(U135),0,R135)</f>
        <v>102410</v>
      </c>
      <c r="X135" s="305"/>
      <c r="Y135" s="299"/>
      <c r="Z135" s="298"/>
      <c r="AA135" s="299"/>
      <c r="AB135" s="298"/>
      <c r="AC135" s="299"/>
      <c r="AD135" s="298"/>
      <c r="AE135" s="299"/>
      <c r="AF135" s="601">
        <f t="shared" ref="AF135:AF198" si="57">SUM(X135,Z135,AB135,AD135)</f>
        <v>0</v>
      </c>
      <c r="AG135" s="602">
        <f t="shared" ref="AG135:AG198" si="58">+AF135/900</f>
        <v>0</v>
      </c>
      <c r="AH135" s="603">
        <f t="shared" ref="AH135:AH198" si="59">SUM(Y135,AA135,AC135,AE135)</f>
        <v>0</v>
      </c>
      <c r="AI135" s="603">
        <f t="shared" ref="AI135:AI198" si="60">+AH135/900</f>
        <v>0</v>
      </c>
      <c r="AJ135" s="298"/>
      <c r="AK135" s="299"/>
      <c r="AL135" s="601">
        <f t="shared" ref="AL135:AL198" si="61">IF(ISBLANK(AJ135),0,AF135)</f>
        <v>0</v>
      </c>
      <c r="AM135" s="604">
        <f t="shared" ref="AM135:AM198" si="62">IF(ISBLANK(AK135),0,AH135)</f>
        <v>0</v>
      </c>
      <c r="AN135" s="306"/>
      <c r="AO135" s="307"/>
      <c r="AP135" s="298">
        <v>1373</v>
      </c>
      <c r="AQ135" s="307">
        <v>1661</v>
      </c>
      <c r="AR135" s="298">
        <v>819</v>
      </c>
      <c r="AS135" s="307">
        <v>920</v>
      </c>
      <c r="AT135" s="298">
        <v>1374</v>
      </c>
      <c r="AU135" s="307">
        <v>1721</v>
      </c>
      <c r="AV135" s="601">
        <f t="shared" ref="AV135:AV198" si="63">SUM(AN135,AP135,AR135,AT135)</f>
        <v>3566</v>
      </c>
      <c r="AW135" s="609">
        <f t="shared" ref="AW135:AW198" si="64">+AV135/24</f>
        <v>148.58333333333334</v>
      </c>
      <c r="AX135" s="603">
        <f t="shared" ref="AX135:AX198" si="65">SUM(AO135,AQ135,AS135,AU135)</f>
        <v>4302</v>
      </c>
      <c r="AY135" s="610">
        <f t="shared" ref="AY135:AY198" si="66">+AX135/24</f>
        <v>179.25</v>
      </c>
      <c r="AZ135" s="611">
        <f t="shared" ref="AZ135:AZ198" si="67">SUM(Q135,AG135,AW135)</f>
        <v>3550.4500000000003</v>
      </c>
      <c r="BA135" s="603">
        <f t="shared" ref="BA135:BA198" si="68">SUM(S135,AI135,AY135)</f>
        <v>3592.9166666666665</v>
      </c>
    </row>
    <row r="136" spans="1:53">
      <c r="A136" s="372" t="s">
        <v>158</v>
      </c>
      <c r="B136" s="373" t="s">
        <v>341</v>
      </c>
      <c r="C136" s="374"/>
      <c r="D136" s="372">
        <v>139764</v>
      </c>
      <c r="E136" s="372">
        <v>5</v>
      </c>
      <c r="F136" s="296" t="s">
        <v>52</v>
      </c>
      <c r="G136" s="297" t="s">
        <v>52</v>
      </c>
      <c r="H136" s="298"/>
      <c r="I136" s="299"/>
      <c r="J136" s="298">
        <v>30377</v>
      </c>
      <c r="K136" s="299">
        <f>17762+14453</f>
        <v>32215</v>
      </c>
      <c r="L136" s="298">
        <v>11215</v>
      </c>
      <c r="M136" s="299">
        <f>5735+6040</f>
        <v>11775</v>
      </c>
      <c r="N136" s="298">
        <v>34458</v>
      </c>
      <c r="O136" s="299">
        <f>18964+14510</f>
        <v>33474</v>
      </c>
      <c r="P136" s="601">
        <f t="shared" si="51"/>
        <v>76050</v>
      </c>
      <c r="Q136" s="602">
        <f t="shared" si="52"/>
        <v>2535</v>
      </c>
      <c r="R136" s="603">
        <f t="shared" si="53"/>
        <v>77464</v>
      </c>
      <c r="S136" s="604">
        <f t="shared" si="54"/>
        <v>2582.1333333333332</v>
      </c>
      <c r="T136" s="298">
        <v>470</v>
      </c>
      <c r="U136" s="299">
        <v>643</v>
      </c>
      <c r="V136" s="601">
        <f t="shared" si="55"/>
        <v>76050</v>
      </c>
      <c r="W136" s="605">
        <f t="shared" si="56"/>
        <v>77464</v>
      </c>
      <c r="X136" s="305"/>
      <c r="Y136" s="299"/>
      <c r="Z136" s="298"/>
      <c r="AA136" s="299"/>
      <c r="AB136" s="298"/>
      <c r="AC136" s="299"/>
      <c r="AD136" s="298"/>
      <c r="AE136" s="299"/>
      <c r="AF136" s="601">
        <f t="shared" si="57"/>
        <v>0</v>
      </c>
      <c r="AG136" s="602">
        <f t="shared" si="58"/>
        <v>0</v>
      </c>
      <c r="AH136" s="603">
        <f t="shared" si="59"/>
        <v>0</v>
      </c>
      <c r="AI136" s="603">
        <f t="shared" si="60"/>
        <v>0</v>
      </c>
      <c r="AJ136" s="298"/>
      <c r="AK136" s="299"/>
      <c r="AL136" s="601">
        <f t="shared" si="61"/>
        <v>0</v>
      </c>
      <c r="AM136" s="604">
        <f t="shared" si="62"/>
        <v>0</v>
      </c>
      <c r="AN136" s="306"/>
      <c r="AO136" s="307"/>
      <c r="AP136" s="298">
        <v>2226</v>
      </c>
      <c r="AQ136" s="307">
        <v>1623</v>
      </c>
      <c r="AR136" s="298">
        <v>2589</v>
      </c>
      <c r="AS136" s="307">
        <v>2334</v>
      </c>
      <c r="AT136" s="298">
        <v>1551</v>
      </c>
      <c r="AU136" s="307">
        <v>1860</v>
      </c>
      <c r="AV136" s="601">
        <f t="shared" si="63"/>
        <v>6366</v>
      </c>
      <c r="AW136" s="609">
        <f t="shared" si="64"/>
        <v>265.25</v>
      </c>
      <c r="AX136" s="603">
        <f t="shared" si="65"/>
        <v>5817</v>
      </c>
      <c r="AY136" s="610">
        <f t="shared" si="66"/>
        <v>242.375</v>
      </c>
      <c r="AZ136" s="611">
        <f t="shared" si="67"/>
        <v>2800.25</v>
      </c>
      <c r="BA136" s="603">
        <f t="shared" si="68"/>
        <v>2824.5083333333332</v>
      </c>
    </row>
    <row r="137" spans="1:53">
      <c r="A137" s="372" t="s">
        <v>158</v>
      </c>
      <c r="B137" s="375" t="s">
        <v>342</v>
      </c>
      <c r="C137" s="374" t="s">
        <v>448</v>
      </c>
      <c r="D137" s="372">
        <v>140669</v>
      </c>
      <c r="E137" s="372">
        <v>5</v>
      </c>
      <c r="F137" s="296" t="s">
        <v>52</v>
      </c>
      <c r="G137" s="297" t="s">
        <v>52</v>
      </c>
      <c r="H137" s="298"/>
      <c r="I137" s="299"/>
      <c r="J137" s="298">
        <v>62759</v>
      </c>
      <c r="K137" s="299">
        <f>42314+24848</f>
        <v>67162</v>
      </c>
      <c r="L137" s="298">
        <v>13939</v>
      </c>
      <c r="M137" s="299">
        <f>7588+7055</f>
        <v>14643</v>
      </c>
      <c r="N137" s="298">
        <v>69397</v>
      </c>
      <c r="O137" s="299">
        <f>47443+24191</f>
        <v>71634</v>
      </c>
      <c r="P137" s="601">
        <f t="shared" si="51"/>
        <v>146095</v>
      </c>
      <c r="Q137" s="602">
        <f t="shared" si="52"/>
        <v>4869.833333333333</v>
      </c>
      <c r="R137" s="603">
        <f t="shared" si="53"/>
        <v>153439</v>
      </c>
      <c r="S137" s="604">
        <f t="shared" si="54"/>
        <v>5114.6333333333332</v>
      </c>
      <c r="T137" s="298">
        <v>206</v>
      </c>
      <c r="U137" s="299">
        <v>210</v>
      </c>
      <c r="V137" s="601">
        <f t="shared" si="55"/>
        <v>146095</v>
      </c>
      <c r="W137" s="605">
        <f t="shared" si="56"/>
        <v>153439</v>
      </c>
      <c r="X137" s="305"/>
      <c r="Y137" s="299"/>
      <c r="Z137" s="298"/>
      <c r="AA137" s="299"/>
      <c r="AB137" s="298"/>
      <c r="AC137" s="299"/>
      <c r="AD137" s="298"/>
      <c r="AE137" s="299"/>
      <c r="AF137" s="601">
        <f t="shared" si="57"/>
        <v>0</v>
      </c>
      <c r="AG137" s="602">
        <f t="shared" si="58"/>
        <v>0</v>
      </c>
      <c r="AH137" s="603">
        <f t="shared" si="59"/>
        <v>0</v>
      </c>
      <c r="AI137" s="603">
        <f t="shared" si="60"/>
        <v>0</v>
      </c>
      <c r="AJ137" s="298"/>
      <c r="AK137" s="299"/>
      <c r="AL137" s="601">
        <f t="shared" si="61"/>
        <v>0</v>
      </c>
      <c r="AM137" s="604">
        <f t="shared" si="62"/>
        <v>0</v>
      </c>
      <c r="AN137" s="306"/>
      <c r="AO137" s="307"/>
      <c r="AP137" s="298">
        <v>2737</v>
      </c>
      <c r="AQ137" s="307">
        <v>3801</v>
      </c>
      <c r="AR137" s="298">
        <v>3383</v>
      </c>
      <c r="AS137" s="307">
        <v>3491</v>
      </c>
      <c r="AT137" s="298">
        <v>4080</v>
      </c>
      <c r="AU137" s="307">
        <v>3839</v>
      </c>
      <c r="AV137" s="601">
        <f t="shared" si="63"/>
        <v>10200</v>
      </c>
      <c r="AW137" s="609">
        <f t="shared" si="64"/>
        <v>425</v>
      </c>
      <c r="AX137" s="603">
        <f t="shared" si="65"/>
        <v>11131</v>
      </c>
      <c r="AY137" s="610">
        <f t="shared" si="66"/>
        <v>463.79166666666669</v>
      </c>
      <c r="AZ137" s="611">
        <f t="shared" si="67"/>
        <v>5294.833333333333</v>
      </c>
      <c r="BA137" s="603">
        <f t="shared" si="68"/>
        <v>5578.4250000000002</v>
      </c>
    </row>
    <row r="138" spans="1:53">
      <c r="A138" s="372" t="s">
        <v>158</v>
      </c>
      <c r="B138" s="373" t="s">
        <v>343</v>
      </c>
      <c r="C138" s="374"/>
      <c r="D138" s="372">
        <v>140960</v>
      </c>
      <c r="E138" s="372">
        <v>5</v>
      </c>
      <c r="F138" s="296" t="s">
        <v>52</v>
      </c>
      <c r="G138" s="297" t="s">
        <v>52</v>
      </c>
      <c r="H138" s="298"/>
      <c r="I138" s="299"/>
      <c r="J138" s="298">
        <v>47770</v>
      </c>
      <c r="K138" s="299">
        <f>35526+12775</f>
        <v>48301</v>
      </c>
      <c r="L138" s="298">
        <v>12768</v>
      </c>
      <c r="M138" s="299">
        <f>10850+2150</f>
        <v>13000</v>
      </c>
      <c r="N138" s="298">
        <v>52522</v>
      </c>
      <c r="O138" s="299">
        <f>44505+12809</f>
        <v>57314</v>
      </c>
      <c r="P138" s="601">
        <f t="shared" si="51"/>
        <v>113060</v>
      </c>
      <c r="Q138" s="602">
        <f t="shared" si="52"/>
        <v>3768.6666666666665</v>
      </c>
      <c r="R138" s="603">
        <f t="shared" si="53"/>
        <v>118615</v>
      </c>
      <c r="S138" s="604">
        <f t="shared" si="54"/>
        <v>3953.8333333333335</v>
      </c>
      <c r="T138" s="298">
        <v>726</v>
      </c>
      <c r="U138" s="299">
        <v>1034</v>
      </c>
      <c r="V138" s="601">
        <f t="shared" si="55"/>
        <v>113060</v>
      </c>
      <c r="W138" s="605">
        <f t="shared" si="56"/>
        <v>118615</v>
      </c>
      <c r="X138" s="305"/>
      <c r="Y138" s="299"/>
      <c r="Z138" s="298"/>
      <c r="AA138" s="299"/>
      <c r="AB138" s="298"/>
      <c r="AC138" s="299"/>
      <c r="AD138" s="298"/>
      <c r="AE138" s="299"/>
      <c r="AF138" s="601">
        <f t="shared" si="57"/>
        <v>0</v>
      </c>
      <c r="AG138" s="602">
        <f t="shared" si="58"/>
        <v>0</v>
      </c>
      <c r="AH138" s="603">
        <f t="shared" si="59"/>
        <v>0</v>
      </c>
      <c r="AI138" s="603">
        <f t="shared" si="60"/>
        <v>0</v>
      </c>
      <c r="AJ138" s="298"/>
      <c r="AK138" s="299"/>
      <c r="AL138" s="601">
        <f t="shared" si="61"/>
        <v>0</v>
      </c>
      <c r="AM138" s="604">
        <f t="shared" si="62"/>
        <v>0</v>
      </c>
      <c r="AN138" s="306"/>
      <c r="AO138" s="307"/>
      <c r="AP138" s="298">
        <v>1167</v>
      </c>
      <c r="AQ138" s="307">
        <v>1239</v>
      </c>
      <c r="AR138" s="298">
        <v>315</v>
      </c>
      <c r="AS138" s="307">
        <v>345</v>
      </c>
      <c r="AT138" s="298">
        <v>1313</v>
      </c>
      <c r="AU138" s="307">
        <v>1503</v>
      </c>
      <c r="AV138" s="601">
        <f t="shared" si="63"/>
        <v>2795</v>
      </c>
      <c r="AW138" s="609">
        <f t="shared" si="64"/>
        <v>116.45833333333333</v>
      </c>
      <c r="AX138" s="603">
        <f t="shared" si="65"/>
        <v>3087</v>
      </c>
      <c r="AY138" s="610">
        <f t="shared" si="66"/>
        <v>128.625</v>
      </c>
      <c r="AZ138" s="611">
        <f t="shared" si="67"/>
        <v>3885.125</v>
      </c>
      <c r="BA138" s="603">
        <f t="shared" si="68"/>
        <v>4082.4583333333335</v>
      </c>
    </row>
    <row r="139" spans="1:53">
      <c r="A139" s="372" t="s">
        <v>158</v>
      </c>
      <c r="B139" s="375" t="s">
        <v>360</v>
      </c>
      <c r="C139" s="419" t="s">
        <v>450</v>
      </c>
      <c r="D139" s="372">
        <v>447689</v>
      </c>
      <c r="E139" s="420">
        <v>6</v>
      </c>
      <c r="F139" s="296" t="s">
        <v>52</v>
      </c>
      <c r="G139" s="297" t="s">
        <v>52</v>
      </c>
      <c r="H139" s="298"/>
      <c r="I139" s="299"/>
      <c r="J139" s="298">
        <v>37530</v>
      </c>
      <c r="K139" s="299">
        <f>56507+10654</f>
        <v>67161</v>
      </c>
      <c r="L139" s="298">
        <v>10190</v>
      </c>
      <c r="M139" s="299">
        <f>14555+3585</f>
        <v>18140</v>
      </c>
      <c r="N139" s="298">
        <v>64003</v>
      </c>
      <c r="O139" s="299">
        <v>92274</v>
      </c>
      <c r="P139" s="601">
        <f t="shared" si="51"/>
        <v>111723</v>
      </c>
      <c r="Q139" s="602">
        <f t="shared" si="52"/>
        <v>3724.1</v>
      </c>
      <c r="R139" s="603">
        <f t="shared" si="53"/>
        <v>177575</v>
      </c>
      <c r="S139" s="604">
        <f t="shared" si="54"/>
        <v>5919.166666666667</v>
      </c>
      <c r="T139" s="298">
        <v>1761</v>
      </c>
      <c r="U139" s="299">
        <v>2408</v>
      </c>
      <c r="V139" s="601">
        <f t="shared" si="55"/>
        <v>111723</v>
      </c>
      <c r="W139" s="605">
        <f t="shared" si="56"/>
        <v>177575</v>
      </c>
      <c r="X139" s="305"/>
      <c r="Y139" s="299"/>
      <c r="Z139" s="298"/>
      <c r="AA139" s="299"/>
      <c r="AB139" s="298"/>
      <c r="AC139" s="299"/>
      <c r="AD139" s="298"/>
      <c r="AE139" s="299"/>
      <c r="AF139" s="601">
        <f t="shared" si="57"/>
        <v>0</v>
      </c>
      <c r="AG139" s="602">
        <f t="shared" si="58"/>
        <v>0</v>
      </c>
      <c r="AH139" s="603">
        <f t="shared" si="59"/>
        <v>0</v>
      </c>
      <c r="AI139" s="603">
        <f t="shared" si="60"/>
        <v>0</v>
      </c>
      <c r="AJ139" s="298"/>
      <c r="AK139" s="299"/>
      <c r="AL139" s="601">
        <f t="shared" si="61"/>
        <v>0</v>
      </c>
      <c r="AM139" s="604">
        <f t="shared" si="62"/>
        <v>0</v>
      </c>
      <c r="AN139" s="306"/>
      <c r="AO139" s="307"/>
      <c r="AP139" s="298"/>
      <c r="AQ139" s="307"/>
      <c r="AR139" s="298"/>
      <c r="AS139" s="307"/>
      <c r="AT139" s="298"/>
      <c r="AU139" s="307"/>
      <c r="AV139" s="601">
        <f t="shared" si="63"/>
        <v>0</v>
      </c>
      <c r="AW139" s="609">
        <f t="shared" si="64"/>
        <v>0</v>
      </c>
      <c r="AX139" s="603">
        <f t="shared" si="65"/>
        <v>0</v>
      </c>
      <c r="AY139" s="610">
        <f t="shared" si="66"/>
        <v>0</v>
      </c>
      <c r="AZ139" s="611">
        <f t="shared" si="67"/>
        <v>3724.1</v>
      </c>
      <c r="BA139" s="603">
        <f t="shared" si="68"/>
        <v>5919.166666666667</v>
      </c>
    </row>
    <row r="140" spans="1:53">
      <c r="A140" s="372" t="s">
        <v>158</v>
      </c>
      <c r="B140" s="373" t="s">
        <v>345</v>
      </c>
      <c r="C140" s="374"/>
      <c r="D140" s="372">
        <v>140322</v>
      </c>
      <c r="E140" s="372">
        <v>6</v>
      </c>
      <c r="F140" s="296" t="s">
        <v>52</v>
      </c>
      <c r="G140" s="297" t="s">
        <v>52</v>
      </c>
      <c r="H140" s="298"/>
      <c r="I140" s="299"/>
      <c r="J140" s="298">
        <v>65702</v>
      </c>
      <c r="K140" s="299">
        <f>43673+17985</f>
        <v>61658</v>
      </c>
      <c r="L140" s="298">
        <v>26823</v>
      </c>
      <c r="M140" s="299">
        <f>18214+7395</f>
        <v>25609</v>
      </c>
      <c r="N140" s="298">
        <v>64264</v>
      </c>
      <c r="O140" s="299">
        <v>60160</v>
      </c>
      <c r="P140" s="601">
        <f t="shared" si="51"/>
        <v>156789</v>
      </c>
      <c r="Q140" s="602">
        <f t="shared" si="52"/>
        <v>5226.3</v>
      </c>
      <c r="R140" s="603">
        <f t="shared" si="53"/>
        <v>147427</v>
      </c>
      <c r="S140" s="604">
        <f t="shared" si="54"/>
        <v>4914.2333333333336</v>
      </c>
      <c r="T140" s="298">
        <v>937</v>
      </c>
      <c r="U140" s="299">
        <v>1203</v>
      </c>
      <c r="V140" s="601">
        <f t="shared" si="55"/>
        <v>156789</v>
      </c>
      <c r="W140" s="605">
        <f t="shared" si="56"/>
        <v>147427</v>
      </c>
      <c r="X140" s="305"/>
      <c r="Y140" s="299"/>
      <c r="Z140" s="298"/>
      <c r="AA140" s="299"/>
      <c r="AB140" s="298"/>
      <c r="AC140" s="299"/>
      <c r="AD140" s="298"/>
      <c r="AE140" s="299"/>
      <c r="AF140" s="601">
        <f t="shared" si="57"/>
        <v>0</v>
      </c>
      <c r="AG140" s="602">
        <f t="shared" si="58"/>
        <v>0</v>
      </c>
      <c r="AH140" s="603">
        <f t="shared" si="59"/>
        <v>0</v>
      </c>
      <c r="AI140" s="603">
        <f t="shared" si="60"/>
        <v>0</v>
      </c>
      <c r="AJ140" s="298"/>
      <c r="AK140" s="299"/>
      <c r="AL140" s="601">
        <f t="shared" si="61"/>
        <v>0</v>
      </c>
      <c r="AM140" s="604">
        <f t="shared" si="62"/>
        <v>0</v>
      </c>
      <c r="AN140" s="306"/>
      <c r="AO140" s="307"/>
      <c r="AP140" s="298"/>
      <c r="AQ140" s="307"/>
      <c r="AR140" s="298"/>
      <c r="AS140" s="307"/>
      <c r="AT140" s="298"/>
      <c r="AU140" s="307"/>
      <c r="AV140" s="601">
        <f t="shared" si="63"/>
        <v>0</v>
      </c>
      <c r="AW140" s="609">
        <f t="shared" si="64"/>
        <v>0</v>
      </c>
      <c r="AX140" s="603">
        <f t="shared" si="65"/>
        <v>0</v>
      </c>
      <c r="AY140" s="610">
        <f t="shared" si="66"/>
        <v>0</v>
      </c>
      <c r="AZ140" s="611">
        <f t="shared" si="67"/>
        <v>5226.3</v>
      </c>
      <c r="BA140" s="603">
        <f t="shared" si="68"/>
        <v>4914.2333333333336</v>
      </c>
    </row>
    <row r="141" spans="1:53">
      <c r="A141" s="372" t="s">
        <v>158</v>
      </c>
      <c r="B141" s="373" t="s">
        <v>346</v>
      </c>
      <c r="C141" s="374"/>
      <c r="D141" s="372">
        <v>139463</v>
      </c>
      <c r="E141" s="372">
        <v>7</v>
      </c>
      <c r="F141" s="296" t="s">
        <v>52</v>
      </c>
      <c r="G141" s="297" t="s">
        <v>52</v>
      </c>
      <c r="H141" s="298"/>
      <c r="I141" s="299"/>
      <c r="J141" s="298">
        <v>59021</v>
      </c>
      <c r="K141" s="299">
        <f>52581+7533</f>
        <v>60114</v>
      </c>
      <c r="L141" s="298">
        <v>14948</v>
      </c>
      <c r="M141" s="299">
        <f>11805+1602</f>
        <v>13407</v>
      </c>
      <c r="N141" s="298">
        <v>64257</v>
      </c>
      <c r="O141" s="299">
        <v>58779</v>
      </c>
      <c r="P141" s="601">
        <f t="shared" si="51"/>
        <v>138226</v>
      </c>
      <c r="Q141" s="602">
        <f t="shared" si="52"/>
        <v>4607.5333333333338</v>
      </c>
      <c r="R141" s="603">
        <f t="shared" si="53"/>
        <v>132300</v>
      </c>
      <c r="S141" s="604">
        <f t="shared" si="54"/>
        <v>4410</v>
      </c>
      <c r="T141" s="298">
        <v>979</v>
      </c>
      <c r="U141" s="299">
        <v>991</v>
      </c>
      <c r="V141" s="601">
        <f t="shared" si="55"/>
        <v>138226</v>
      </c>
      <c r="W141" s="605">
        <f t="shared" si="56"/>
        <v>132300</v>
      </c>
      <c r="X141" s="305"/>
      <c r="Y141" s="299"/>
      <c r="Z141" s="298"/>
      <c r="AA141" s="299"/>
      <c r="AB141" s="298"/>
      <c r="AC141" s="299"/>
      <c r="AD141" s="298"/>
      <c r="AE141" s="299"/>
      <c r="AF141" s="601">
        <f t="shared" si="57"/>
        <v>0</v>
      </c>
      <c r="AG141" s="602">
        <f t="shared" si="58"/>
        <v>0</v>
      </c>
      <c r="AH141" s="603">
        <f t="shared" si="59"/>
        <v>0</v>
      </c>
      <c r="AI141" s="603">
        <f t="shared" si="60"/>
        <v>0</v>
      </c>
      <c r="AJ141" s="298"/>
      <c r="AK141" s="299"/>
      <c r="AL141" s="601">
        <f t="shared" si="61"/>
        <v>0</v>
      </c>
      <c r="AM141" s="604">
        <f t="shared" si="62"/>
        <v>0</v>
      </c>
      <c r="AN141" s="306"/>
      <c r="AO141" s="307"/>
      <c r="AP141" s="298"/>
      <c r="AQ141" s="307"/>
      <c r="AR141" s="298"/>
      <c r="AS141" s="307"/>
      <c r="AT141" s="298"/>
      <c r="AU141" s="307"/>
      <c r="AV141" s="601">
        <f t="shared" si="63"/>
        <v>0</v>
      </c>
      <c r="AW141" s="609">
        <f t="shared" si="64"/>
        <v>0</v>
      </c>
      <c r="AX141" s="603">
        <f t="shared" si="65"/>
        <v>0</v>
      </c>
      <c r="AY141" s="610">
        <f t="shared" si="66"/>
        <v>0</v>
      </c>
      <c r="AZ141" s="611">
        <f t="shared" si="67"/>
        <v>4607.5333333333338</v>
      </c>
      <c r="BA141" s="603">
        <f t="shared" si="68"/>
        <v>4410</v>
      </c>
    </row>
    <row r="142" spans="1:53">
      <c r="A142" s="372" t="s">
        <v>158</v>
      </c>
      <c r="B142" s="376" t="s">
        <v>347</v>
      </c>
      <c r="C142" s="374"/>
      <c r="D142" s="372">
        <v>139773</v>
      </c>
      <c r="E142" s="377">
        <v>7</v>
      </c>
      <c r="F142" s="296" t="s">
        <v>52</v>
      </c>
      <c r="G142" s="297" t="s">
        <v>52</v>
      </c>
      <c r="H142" s="298"/>
      <c r="I142" s="299"/>
      <c r="J142" s="298">
        <v>90696</v>
      </c>
      <c r="K142" s="299">
        <f>83809+3358</f>
        <v>87167</v>
      </c>
      <c r="L142" s="298">
        <v>21540</v>
      </c>
      <c r="M142" s="299">
        <f>19708+1851</f>
        <v>21559</v>
      </c>
      <c r="N142" s="298">
        <v>99648</v>
      </c>
      <c r="O142" s="299">
        <v>92855</v>
      </c>
      <c r="P142" s="601">
        <f t="shared" si="51"/>
        <v>211884</v>
      </c>
      <c r="Q142" s="602">
        <f t="shared" si="52"/>
        <v>7062.8</v>
      </c>
      <c r="R142" s="603">
        <f t="shared" si="53"/>
        <v>201581</v>
      </c>
      <c r="S142" s="604">
        <f t="shared" si="54"/>
        <v>6719.3666666666668</v>
      </c>
      <c r="T142" s="298">
        <v>1891</v>
      </c>
      <c r="U142" s="299">
        <v>11206</v>
      </c>
      <c r="V142" s="601">
        <f t="shared" si="55"/>
        <v>211884</v>
      </c>
      <c r="W142" s="605">
        <f t="shared" si="56"/>
        <v>201581</v>
      </c>
      <c r="X142" s="305"/>
      <c r="Y142" s="299"/>
      <c r="Z142" s="298"/>
      <c r="AA142" s="299"/>
      <c r="AB142" s="298"/>
      <c r="AC142" s="299"/>
      <c r="AD142" s="298"/>
      <c r="AE142" s="299"/>
      <c r="AF142" s="601">
        <f t="shared" si="57"/>
        <v>0</v>
      </c>
      <c r="AG142" s="602">
        <f t="shared" si="58"/>
        <v>0</v>
      </c>
      <c r="AH142" s="603">
        <f t="shared" si="59"/>
        <v>0</v>
      </c>
      <c r="AI142" s="603">
        <f t="shared" si="60"/>
        <v>0</v>
      </c>
      <c r="AJ142" s="298"/>
      <c r="AK142" s="299"/>
      <c r="AL142" s="601">
        <f t="shared" si="61"/>
        <v>0</v>
      </c>
      <c r="AM142" s="604">
        <f t="shared" si="62"/>
        <v>0</v>
      </c>
      <c r="AN142" s="306"/>
      <c r="AO142" s="307"/>
      <c r="AP142" s="298"/>
      <c r="AQ142" s="307"/>
      <c r="AR142" s="298"/>
      <c r="AS142" s="307"/>
      <c r="AT142" s="298"/>
      <c r="AU142" s="307"/>
      <c r="AV142" s="601">
        <f t="shared" si="63"/>
        <v>0</v>
      </c>
      <c r="AW142" s="609">
        <f t="shared" si="64"/>
        <v>0</v>
      </c>
      <c r="AX142" s="603">
        <f t="shared" si="65"/>
        <v>0</v>
      </c>
      <c r="AY142" s="610">
        <f t="shared" si="66"/>
        <v>0</v>
      </c>
      <c r="AZ142" s="611">
        <f t="shared" si="67"/>
        <v>7062.8</v>
      </c>
      <c r="BA142" s="603">
        <f t="shared" si="68"/>
        <v>6719.3666666666668</v>
      </c>
    </row>
    <row r="143" spans="1:53">
      <c r="A143" s="372" t="s">
        <v>158</v>
      </c>
      <c r="B143" s="375" t="s">
        <v>354</v>
      </c>
      <c r="C143" s="419" t="s">
        <v>458</v>
      </c>
      <c r="D143" s="372">
        <v>139968</v>
      </c>
      <c r="E143" s="427">
        <v>7</v>
      </c>
      <c r="F143" s="296" t="s">
        <v>52</v>
      </c>
      <c r="G143" s="297" t="s">
        <v>52</v>
      </c>
      <c r="H143" s="298"/>
      <c r="I143" s="299"/>
      <c r="J143" s="298">
        <v>51741</v>
      </c>
      <c r="K143" s="299">
        <f>53901+2395</f>
        <v>56296</v>
      </c>
      <c r="L143" s="298">
        <v>10591</v>
      </c>
      <c r="M143" s="299">
        <f>8892+1015</f>
        <v>9907</v>
      </c>
      <c r="N143" s="298">
        <v>59568</v>
      </c>
      <c r="O143" s="299">
        <v>54394</v>
      </c>
      <c r="P143" s="601">
        <f t="shared" si="51"/>
        <v>121900</v>
      </c>
      <c r="Q143" s="602">
        <f t="shared" si="52"/>
        <v>4063.3333333333335</v>
      </c>
      <c r="R143" s="603">
        <f t="shared" si="53"/>
        <v>120597</v>
      </c>
      <c r="S143" s="604">
        <f t="shared" si="54"/>
        <v>4019.9</v>
      </c>
      <c r="T143" s="298">
        <v>488</v>
      </c>
      <c r="U143" s="299">
        <v>766</v>
      </c>
      <c r="V143" s="601">
        <f t="shared" si="55"/>
        <v>121900</v>
      </c>
      <c r="W143" s="605">
        <f t="shared" si="56"/>
        <v>120597</v>
      </c>
      <c r="X143" s="305"/>
      <c r="Y143" s="299"/>
      <c r="Z143" s="298"/>
      <c r="AA143" s="299"/>
      <c r="AB143" s="298"/>
      <c r="AC143" s="299"/>
      <c r="AD143" s="298"/>
      <c r="AE143" s="299"/>
      <c r="AF143" s="601">
        <f t="shared" si="57"/>
        <v>0</v>
      </c>
      <c r="AG143" s="602">
        <f t="shared" si="58"/>
        <v>0</v>
      </c>
      <c r="AH143" s="603">
        <f t="shared" si="59"/>
        <v>0</v>
      </c>
      <c r="AI143" s="603">
        <f t="shared" si="60"/>
        <v>0</v>
      </c>
      <c r="AJ143" s="298"/>
      <c r="AK143" s="299"/>
      <c r="AL143" s="601">
        <f t="shared" si="61"/>
        <v>0</v>
      </c>
      <c r="AM143" s="604">
        <f t="shared" si="62"/>
        <v>0</v>
      </c>
      <c r="AN143" s="306"/>
      <c r="AO143" s="307"/>
      <c r="AP143" s="298"/>
      <c r="AQ143" s="307"/>
      <c r="AR143" s="298"/>
      <c r="AS143" s="307"/>
      <c r="AT143" s="298"/>
      <c r="AU143" s="307"/>
      <c r="AV143" s="601">
        <f t="shared" si="63"/>
        <v>0</v>
      </c>
      <c r="AW143" s="609">
        <f t="shared" si="64"/>
        <v>0</v>
      </c>
      <c r="AX143" s="603">
        <f t="shared" si="65"/>
        <v>0</v>
      </c>
      <c r="AY143" s="610">
        <f t="shared" si="66"/>
        <v>0</v>
      </c>
      <c r="AZ143" s="611">
        <f t="shared" si="67"/>
        <v>4063.3333333333335</v>
      </c>
      <c r="BA143" s="603">
        <f t="shared" si="68"/>
        <v>4019.9</v>
      </c>
    </row>
    <row r="144" spans="1:53">
      <c r="A144" s="372" t="s">
        <v>158</v>
      </c>
      <c r="B144" s="373" t="s">
        <v>348</v>
      </c>
      <c r="C144" s="374"/>
      <c r="D144" s="372">
        <v>244437</v>
      </c>
      <c r="E144" s="372">
        <v>8</v>
      </c>
      <c r="F144" s="296" t="s">
        <v>52</v>
      </c>
      <c r="G144" s="297" t="s">
        <v>52</v>
      </c>
      <c r="H144" s="298"/>
      <c r="I144" s="299"/>
      <c r="J144" s="298">
        <v>249558</v>
      </c>
      <c r="K144" s="299">
        <v>250419</v>
      </c>
      <c r="L144" s="298">
        <v>92265</v>
      </c>
      <c r="M144" s="299">
        <v>105024</v>
      </c>
      <c r="N144" s="298">
        <v>238981</v>
      </c>
      <c r="O144" s="299">
        <v>254794</v>
      </c>
      <c r="P144" s="601">
        <f t="shared" si="51"/>
        <v>580804</v>
      </c>
      <c r="Q144" s="602">
        <f t="shared" si="52"/>
        <v>19360.133333333335</v>
      </c>
      <c r="R144" s="603">
        <f t="shared" si="53"/>
        <v>610237</v>
      </c>
      <c r="S144" s="604">
        <f t="shared" si="54"/>
        <v>20341.233333333334</v>
      </c>
      <c r="T144" s="298">
        <v>9130</v>
      </c>
      <c r="U144" s="299">
        <v>772</v>
      </c>
      <c r="V144" s="601">
        <f t="shared" si="55"/>
        <v>580804</v>
      </c>
      <c r="W144" s="605">
        <f t="shared" si="56"/>
        <v>610237</v>
      </c>
      <c r="X144" s="305"/>
      <c r="Y144" s="299"/>
      <c r="Z144" s="298"/>
      <c r="AA144" s="299"/>
      <c r="AB144" s="298"/>
      <c r="AC144" s="299"/>
      <c r="AD144" s="298"/>
      <c r="AE144" s="299"/>
      <c r="AF144" s="601">
        <f t="shared" si="57"/>
        <v>0</v>
      </c>
      <c r="AG144" s="602">
        <f t="shared" si="58"/>
        <v>0</v>
      </c>
      <c r="AH144" s="603">
        <f t="shared" si="59"/>
        <v>0</v>
      </c>
      <c r="AI144" s="603">
        <f t="shared" si="60"/>
        <v>0</v>
      </c>
      <c r="AJ144" s="298"/>
      <c r="AK144" s="299"/>
      <c r="AL144" s="601">
        <f t="shared" si="61"/>
        <v>0</v>
      </c>
      <c r="AM144" s="604">
        <f t="shared" si="62"/>
        <v>0</v>
      </c>
      <c r="AN144" s="306"/>
      <c r="AO144" s="307"/>
      <c r="AP144" s="298"/>
      <c r="AQ144" s="307"/>
      <c r="AR144" s="298"/>
      <c r="AS144" s="307"/>
      <c r="AT144" s="298"/>
      <c r="AU144" s="307"/>
      <c r="AV144" s="601">
        <f t="shared" si="63"/>
        <v>0</v>
      </c>
      <c r="AW144" s="609">
        <f t="shared" si="64"/>
        <v>0</v>
      </c>
      <c r="AX144" s="603">
        <f t="shared" si="65"/>
        <v>0</v>
      </c>
      <c r="AY144" s="610">
        <f t="shared" si="66"/>
        <v>0</v>
      </c>
      <c r="AZ144" s="611">
        <f t="shared" si="67"/>
        <v>19360.133333333335</v>
      </c>
      <c r="BA144" s="603">
        <f t="shared" si="68"/>
        <v>20341.233333333334</v>
      </c>
    </row>
    <row r="145" spans="1:53">
      <c r="A145" s="372" t="s">
        <v>158</v>
      </c>
      <c r="B145" s="375" t="s">
        <v>349</v>
      </c>
      <c r="C145" s="374" t="s">
        <v>457</v>
      </c>
      <c r="D145" s="372">
        <v>138558</v>
      </c>
      <c r="E145" s="372">
        <v>9</v>
      </c>
      <c r="F145" s="296" t="s">
        <v>52</v>
      </c>
      <c r="G145" s="297" t="s">
        <v>52</v>
      </c>
      <c r="H145" s="298"/>
      <c r="I145" s="299"/>
      <c r="J145" s="298">
        <v>35407</v>
      </c>
      <c r="K145" s="299">
        <f>34203+1240</f>
        <v>35443</v>
      </c>
      <c r="L145" s="298">
        <v>7488</v>
      </c>
      <c r="M145" s="299">
        <f>7815+213</f>
        <v>8028</v>
      </c>
      <c r="N145" s="298">
        <v>39045</v>
      </c>
      <c r="O145" s="299">
        <f>35932+1740</f>
        <v>37672</v>
      </c>
      <c r="P145" s="601">
        <f t="shared" si="51"/>
        <v>81940</v>
      </c>
      <c r="Q145" s="602">
        <f t="shared" si="52"/>
        <v>2731.3333333333335</v>
      </c>
      <c r="R145" s="603">
        <f t="shared" si="53"/>
        <v>81143</v>
      </c>
      <c r="S145" s="604">
        <f t="shared" si="54"/>
        <v>2704.7666666666669</v>
      </c>
      <c r="T145" s="298">
        <v>461</v>
      </c>
      <c r="U145" s="299">
        <v>1241</v>
      </c>
      <c r="V145" s="601">
        <f t="shared" si="55"/>
        <v>81940</v>
      </c>
      <c r="W145" s="605">
        <f t="shared" si="56"/>
        <v>81143</v>
      </c>
      <c r="X145" s="305"/>
      <c r="Y145" s="299"/>
      <c r="Z145" s="298"/>
      <c r="AA145" s="299"/>
      <c r="AB145" s="298"/>
      <c r="AC145" s="299"/>
      <c r="AD145" s="298"/>
      <c r="AE145" s="299"/>
      <c r="AF145" s="601">
        <f t="shared" si="57"/>
        <v>0</v>
      </c>
      <c r="AG145" s="602">
        <f t="shared" si="58"/>
        <v>0</v>
      </c>
      <c r="AH145" s="603">
        <f t="shared" si="59"/>
        <v>0</v>
      </c>
      <c r="AI145" s="603">
        <f t="shared" si="60"/>
        <v>0</v>
      </c>
      <c r="AJ145" s="298"/>
      <c r="AK145" s="299"/>
      <c r="AL145" s="601">
        <f t="shared" si="61"/>
        <v>0</v>
      </c>
      <c r="AM145" s="604">
        <f t="shared" si="62"/>
        <v>0</v>
      </c>
      <c r="AN145" s="306"/>
      <c r="AO145" s="307"/>
      <c r="AP145" s="298"/>
      <c r="AQ145" s="307"/>
      <c r="AR145" s="298"/>
      <c r="AS145" s="307"/>
      <c r="AT145" s="298"/>
      <c r="AU145" s="307"/>
      <c r="AV145" s="601">
        <f t="shared" si="63"/>
        <v>0</v>
      </c>
      <c r="AW145" s="609">
        <f t="shared" si="64"/>
        <v>0</v>
      </c>
      <c r="AX145" s="603">
        <f t="shared" si="65"/>
        <v>0</v>
      </c>
      <c r="AY145" s="610">
        <f t="shared" si="66"/>
        <v>0</v>
      </c>
      <c r="AZ145" s="611">
        <f t="shared" si="67"/>
        <v>2731.3333333333335</v>
      </c>
      <c r="BA145" s="603">
        <f t="shared" si="68"/>
        <v>2704.7666666666669</v>
      </c>
    </row>
    <row r="146" spans="1:53">
      <c r="A146" s="372" t="s">
        <v>158</v>
      </c>
      <c r="B146" s="375" t="s">
        <v>356</v>
      </c>
      <c r="C146" s="419" t="s">
        <v>459</v>
      </c>
      <c r="D146" s="372">
        <v>138901</v>
      </c>
      <c r="E146" s="427">
        <v>9</v>
      </c>
      <c r="F146" s="296" t="s">
        <v>52</v>
      </c>
      <c r="G146" s="297" t="s">
        <v>52</v>
      </c>
      <c r="H146" s="298"/>
      <c r="I146" s="299"/>
      <c r="J146" s="298">
        <v>30588</v>
      </c>
      <c r="K146" s="299">
        <f>32533+0</f>
        <v>32533</v>
      </c>
      <c r="L146" s="298">
        <v>15458</v>
      </c>
      <c r="M146" s="299">
        <f>13582</f>
        <v>13582</v>
      </c>
      <c r="N146" s="298">
        <v>34383</v>
      </c>
      <c r="O146" s="299">
        <v>29816</v>
      </c>
      <c r="P146" s="601">
        <f t="shared" si="51"/>
        <v>80429</v>
      </c>
      <c r="Q146" s="602">
        <f t="shared" si="52"/>
        <v>2680.9666666666667</v>
      </c>
      <c r="R146" s="603">
        <f t="shared" si="53"/>
        <v>75931</v>
      </c>
      <c r="S146" s="604">
        <f t="shared" si="54"/>
        <v>2531.0333333333333</v>
      </c>
      <c r="T146" s="298">
        <v>189</v>
      </c>
      <c r="U146" s="299">
        <v>300</v>
      </c>
      <c r="V146" s="601">
        <f t="shared" si="55"/>
        <v>80429</v>
      </c>
      <c r="W146" s="605">
        <f t="shared" si="56"/>
        <v>75931</v>
      </c>
      <c r="X146" s="305"/>
      <c r="Y146" s="299"/>
      <c r="Z146" s="298"/>
      <c r="AA146" s="299"/>
      <c r="AB146" s="298"/>
      <c r="AC146" s="299"/>
      <c r="AD146" s="298"/>
      <c r="AE146" s="299"/>
      <c r="AF146" s="601">
        <f t="shared" si="57"/>
        <v>0</v>
      </c>
      <c r="AG146" s="602">
        <f t="shared" si="58"/>
        <v>0</v>
      </c>
      <c r="AH146" s="603">
        <f t="shared" si="59"/>
        <v>0</v>
      </c>
      <c r="AI146" s="603">
        <f t="shared" si="60"/>
        <v>0</v>
      </c>
      <c r="AJ146" s="298"/>
      <c r="AK146" s="299"/>
      <c r="AL146" s="601">
        <f t="shared" si="61"/>
        <v>0</v>
      </c>
      <c r="AM146" s="604">
        <f t="shared" si="62"/>
        <v>0</v>
      </c>
      <c r="AN146" s="306"/>
      <c r="AO146" s="307"/>
      <c r="AP146" s="298"/>
      <c r="AQ146" s="307"/>
      <c r="AR146" s="298"/>
      <c r="AS146" s="307"/>
      <c r="AT146" s="298"/>
      <c r="AU146" s="307"/>
      <c r="AV146" s="601">
        <f t="shared" si="63"/>
        <v>0</v>
      </c>
      <c r="AW146" s="609">
        <f t="shared" si="64"/>
        <v>0</v>
      </c>
      <c r="AX146" s="603">
        <f t="shared" si="65"/>
        <v>0</v>
      </c>
      <c r="AY146" s="610">
        <f t="shared" si="66"/>
        <v>0</v>
      </c>
      <c r="AZ146" s="611">
        <f t="shared" si="67"/>
        <v>2680.9666666666667</v>
      </c>
      <c r="BA146" s="603">
        <f t="shared" si="68"/>
        <v>2531.0333333333333</v>
      </c>
    </row>
    <row r="147" spans="1:53">
      <c r="A147" s="372" t="s">
        <v>158</v>
      </c>
      <c r="B147" s="373" t="s">
        <v>350</v>
      </c>
      <c r="C147" s="374"/>
      <c r="D147" s="372">
        <v>139010</v>
      </c>
      <c r="E147" s="372">
        <v>9</v>
      </c>
      <c r="F147" s="296" t="s">
        <v>52</v>
      </c>
      <c r="G147" s="297" t="s">
        <v>52</v>
      </c>
      <c r="H147" s="298"/>
      <c r="I147" s="299"/>
      <c r="J147" s="298">
        <v>39130</v>
      </c>
      <c r="K147" s="299">
        <v>39960</v>
      </c>
      <c r="L147" s="298">
        <v>22371</v>
      </c>
      <c r="M147" s="299">
        <v>23673</v>
      </c>
      <c r="N147" s="298">
        <v>38927</v>
      </c>
      <c r="O147" s="299">
        <v>39342</v>
      </c>
      <c r="P147" s="601">
        <f t="shared" si="51"/>
        <v>100428</v>
      </c>
      <c r="Q147" s="602">
        <f t="shared" si="52"/>
        <v>3347.6</v>
      </c>
      <c r="R147" s="603">
        <f t="shared" si="53"/>
        <v>102975</v>
      </c>
      <c r="S147" s="604">
        <f t="shared" si="54"/>
        <v>3432.5</v>
      </c>
      <c r="T147" s="298">
        <v>1501</v>
      </c>
      <c r="U147" s="299">
        <v>873</v>
      </c>
      <c r="V147" s="601">
        <f t="shared" si="55"/>
        <v>100428</v>
      </c>
      <c r="W147" s="605">
        <f t="shared" si="56"/>
        <v>102975</v>
      </c>
      <c r="X147" s="305"/>
      <c r="Y147" s="299"/>
      <c r="Z147" s="298"/>
      <c r="AA147" s="299"/>
      <c r="AB147" s="298"/>
      <c r="AC147" s="299"/>
      <c r="AD147" s="298"/>
      <c r="AE147" s="299"/>
      <c r="AF147" s="601">
        <f t="shared" si="57"/>
        <v>0</v>
      </c>
      <c r="AG147" s="602">
        <f t="shared" si="58"/>
        <v>0</v>
      </c>
      <c r="AH147" s="603">
        <f t="shared" si="59"/>
        <v>0</v>
      </c>
      <c r="AI147" s="603">
        <f t="shared" si="60"/>
        <v>0</v>
      </c>
      <c r="AJ147" s="298"/>
      <c r="AK147" s="299"/>
      <c r="AL147" s="601">
        <f t="shared" si="61"/>
        <v>0</v>
      </c>
      <c r="AM147" s="604">
        <f t="shared" si="62"/>
        <v>0</v>
      </c>
      <c r="AN147" s="306"/>
      <c r="AO147" s="307"/>
      <c r="AP147" s="298"/>
      <c r="AQ147" s="307"/>
      <c r="AR147" s="298"/>
      <c r="AS147" s="307"/>
      <c r="AT147" s="298"/>
      <c r="AU147" s="307"/>
      <c r="AV147" s="601">
        <f t="shared" si="63"/>
        <v>0</v>
      </c>
      <c r="AW147" s="609">
        <f t="shared" si="64"/>
        <v>0</v>
      </c>
      <c r="AX147" s="603">
        <f t="shared" si="65"/>
        <v>0</v>
      </c>
      <c r="AY147" s="610">
        <f t="shared" si="66"/>
        <v>0</v>
      </c>
      <c r="AZ147" s="611">
        <f t="shared" si="67"/>
        <v>3347.6</v>
      </c>
      <c r="BA147" s="603">
        <f t="shared" si="68"/>
        <v>3432.5</v>
      </c>
    </row>
    <row r="148" spans="1:53">
      <c r="A148" s="372" t="s">
        <v>158</v>
      </c>
      <c r="B148" s="378" t="s">
        <v>351</v>
      </c>
      <c r="C148" s="374" t="s">
        <v>457</v>
      </c>
      <c r="D148" s="372">
        <v>139250</v>
      </c>
      <c r="E148" s="379">
        <v>9</v>
      </c>
      <c r="F148" s="296" t="s">
        <v>52</v>
      </c>
      <c r="G148" s="297" t="s">
        <v>52</v>
      </c>
      <c r="H148" s="298"/>
      <c r="I148" s="299"/>
      <c r="J148" s="298">
        <v>32135</v>
      </c>
      <c r="K148" s="299">
        <f>31352+3352</f>
        <v>34704</v>
      </c>
      <c r="L148" s="298">
        <v>11595</v>
      </c>
      <c r="M148" s="299">
        <f>9335+801</f>
        <v>10136</v>
      </c>
      <c r="N148" s="298">
        <v>36464</v>
      </c>
      <c r="O148" s="299">
        <f>32742+4717</f>
        <v>37459</v>
      </c>
      <c r="P148" s="601">
        <f t="shared" si="51"/>
        <v>80194</v>
      </c>
      <c r="Q148" s="602">
        <f t="shared" si="52"/>
        <v>2673.1333333333332</v>
      </c>
      <c r="R148" s="603">
        <f t="shared" si="53"/>
        <v>82299</v>
      </c>
      <c r="S148" s="604">
        <f t="shared" si="54"/>
        <v>2743.3</v>
      </c>
      <c r="T148" s="298">
        <v>452.5</v>
      </c>
      <c r="U148" s="299">
        <v>907.5</v>
      </c>
      <c r="V148" s="601">
        <f t="shared" si="55"/>
        <v>80194</v>
      </c>
      <c r="W148" s="605">
        <f t="shared" si="56"/>
        <v>82299</v>
      </c>
      <c r="X148" s="305"/>
      <c r="Y148" s="299"/>
      <c r="Z148" s="298"/>
      <c r="AA148" s="299"/>
      <c r="AB148" s="298"/>
      <c r="AC148" s="299"/>
      <c r="AD148" s="298"/>
      <c r="AE148" s="299"/>
      <c r="AF148" s="601">
        <f t="shared" si="57"/>
        <v>0</v>
      </c>
      <c r="AG148" s="602">
        <f t="shared" si="58"/>
        <v>0</v>
      </c>
      <c r="AH148" s="603">
        <f t="shared" si="59"/>
        <v>0</v>
      </c>
      <c r="AI148" s="603">
        <f t="shared" si="60"/>
        <v>0</v>
      </c>
      <c r="AJ148" s="298"/>
      <c r="AK148" s="299"/>
      <c r="AL148" s="601">
        <f t="shared" si="61"/>
        <v>0</v>
      </c>
      <c r="AM148" s="604">
        <f t="shared" si="62"/>
        <v>0</v>
      </c>
      <c r="AN148" s="306"/>
      <c r="AO148" s="307"/>
      <c r="AP148" s="298"/>
      <c r="AQ148" s="307"/>
      <c r="AR148" s="298"/>
      <c r="AS148" s="307"/>
      <c r="AT148" s="298"/>
      <c r="AU148" s="307"/>
      <c r="AV148" s="601">
        <f t="shared" si="63"/>
        <v>0</v>
      </c>
      <c r="AW148" s="609">
        <f t="shared" si="64"/>
        <v>0</v>
      </c>
      <c r="AX148" s="603">
        <f t="shared" si="65"/>
        <v>0</v>
      </c>
      <c r="AY148" s="610">
        <f t="shared" si="66"/>
        <v>0</v>
      </c>
      <c r="AZ148" s="611">
        <f t="shared" si="67"/>
        <v>2673.1333333333332</v>
      </c>
      <c r="BA148" s="603">
        <f t="shared" si="68"/>
        <v>2743.3</v>
      </c>
    </row>
    <row r="149" spans="1:53">
      <c r="A149" s="372" t="s">
        <v>158</v>
      </c>
      <c r="B149" s="378" t="s">
        <v>352</v>
      </c>
      <c r="C149" s="374"/>
      <c r="D149" s="372">
        <v>138691</v>
      </c>
      <c r="E149" s="372">
        <v>9</v>
      </c>
      <c r="F149" s="296" t="s">
        <v>52</v>
      </c>
      <c r="G149" s="297" t="s">
        <v>52</v>
      </c>
      <c r="H149" s="298"/>
      <c r="I149" s="299"/>
      <c r="J149" s="298">
        <v>55012</v>
      </c>
      <c r="K149" s="299">
        <v>52377</v>
      </c>
      <c r="L149" s="298">
        <v>31711.5</v>
      </c>
      <c r="M149" s="299">
        <f>28811.5</f>
        <v>28811.5</v>
      </c>
      <c r="N149" s="298">
        <v>58005.5</v>
      </c>
      <c r="O149" s="299">
        <v>60674.5</v>
      </c>
      <c r="P149" s="601">
        <f t="shared" si="51"/>
        <v>144729</v>
      </c>
      <c r="Q149" s="602">
        <f t="shared" si="52"/>
        <v>4824.3</v>
      </c>
      <c r="R149" s="603">
        <f t="shared" si="53"/>
        <v>141863</v>
      </c>
      <c r="S149" s="604">
        <f t="shared" si="54"/>
        <v>4728.7666666666664</v>
      </c>
      <c r="T149" s="298">
        <v>814.5</v>
      </c>
      <c r="U149" s="299">
        <v>1773</v>
      </c>
      <c r="V149" s="601">
        <f t="shared" si="55"/>
        <v>144729</v>
      </c>
      <c r="W149" s="605">
        <f t="shared" si="56"/>
        <v>141863</v>
      </c>
      <c r="X149" s="305"/>
      <c r="Y149" s="299"/>
      <c r="Z149" s="298"/>
      <c r="AA149" s="299"/>
      <c r="AB149" s="298"/>
      <c r="AC149" s="299"/>
      <c r="AD149" s="298"/>
      <c r="AE149" s="299"/>
      <c r="AF149" s="601">
        <f t="shared" si="57"/>
        <v>0</v>
      </c>
      <c r="AG149" s="602">
        <f t="shared" si="58"/>
        <v>0</v>
      </c>
      <c r="AH149" s="603">
        <f t="shared" si="59"/>
        <v>0</v>
      </c>
      <c r="AI149" s="603">
        <f t="shared" si="60"/>
        <v>0</v>
      </c>
      <c r="AJ149" s="298"/>
      <c r="AK149" s="299"/>
      <c r="AL149" s="601">
        <f t="shared" si="61"/>
        <v>0</v>
      </c>
      <c r="AM149" s="604">
        <f t="shared" si="62"/>
        <v>0</v>
      </c>
      <c r="AN149" s="306"/>
      <c r="AO149" s="307"/>
      <c r="AP149" s="298"/>
      <c r="AQ149" s="307"/>
      <c r="AR149" s="298"/>
      <c r="AS149" s="307"/>
      <c r="AT149" s="298"/>
      <c r="AU149" s="307"/>
      <c r="AV149" s="601">
        <f t="shared" si="63"/>
        <v>0</v>
      </c>
      <c r="AW149" s="609">
        <f t="shared" si="64"/>
        <v>0</v>
      </c>
      <c r="AX149" s="603">
        <f t="shared" si="65"/>
        <v>0</v>
      </c>
      <c r="AY149" s="610">
        <f t="shared" si="66"/>
        <v>0</v>
      </c>
      <c r="AZ149" s="611">
        <f t="shared" si="67"/>
        <v>4824.3</v>
      </c>
      <c r="BA149" s="603">
        <f t="shared" si="68"/>
        <v>4728.7666666666664</v>
      </c>
    </row>
    <row r="150" spans="1:53">
      <c r="A150" s="372" t="s">
        <v>158</v>
      </c>
      <c r="B150" s="375" t="s">
        <v>357</v>
      </c>
      <c r="C150" s="419" t="s">
        <v>459</v>
      </c>
      <c r="D150" s="372">
        <v>139621</v>
      </c>
      <c r="E150" s="427">
        <v>9</v>
      </c>
      <c r="F150" s="296" t="s">
        <v>52</v>
      </c>
      <c r="G150" s="297" t="s">
        <v>52</v>
      </c>
      <c r="H150" s="298"/>
      <c r="I150" s="299"/>
      <c r="J150" s="298">
        <v>30560</v>
      </c>
      <c r="K150" s="299">
        <v>32742</v>
      </c>
      <c r="L150" s="298">
        <v>8053</v>
      </c>
      <c r="M150" s="299">
        <v>8505</v>
      </c>
      <c r="N150" s="298">
        <v>35396</v>
      </c>
      <c r="O150" s="299">
        <v>39921</v>
      </c>
      <c r="P150" s="601">
        <f t="shared" si="51"/>
        <v>74009</v>
      </c>
      <c r="Q150" s="602">
        <f t="shared" si="52"/>
        <v>2466.9666666666667</v>
      </c>
      <c r="R150" s="603">
        <f t="shared" si="53"/>
        <v>81168</v>
      </c>
      <c r="S150" s="604">
        <f t="shared" si="54"/>
        <v>2705.6</v>
      </c>
      <c r="T150" s="298">
        <v>350</v>
      </c>
      <c r="U150" s="299">
        <v>427</v>
      </c>
      <c r="V150" s="601">
        <f t="shared" si="55"/>
        <v>74009</v>
      </c>
      <c r="W150" s="605">
        <f t="shared" si="56"/>
        <v>81168</v>
      </c>
      <c r="X150" s="305"/>
      <c r="Y150" s="299"/>
      <c r="Z150" s="298"/>
      <c r="AA150" s="299"/>
      <c r="AB150" s="298"/>
      <c r="AC150" s="299"/>
      <c r="AD150" s="298"/>
      <c r="AE150" s="299"/>
      <c r="AF150" s="601">
        <f t="shared" si="57"/>
        <v>0</v>
      </c>
      <c r="AG150" s="602">
        <f t="shared" si="58"/>
        <v>0</v>
      </c>
      <c r="AH150" s="603">
        <f t="shared" si="59"/>
        <v>0</v>
      </c>
      <c r="AI150" s="603">
        <f t="shared" si="60"/>
        <v>0</v>
      </c>
      <c r="AJ150" s="298"/>
      <c r="AK150" s="299"/>
      <c r="AL150" s="601">
        <f t="shared" si="61"/>
        <v>0</v>
      </c>
      <c r="AM150" s="604">
        <f t="shared" si="62"/>
        <v>0</v>
      </c>
      <c r="AN150" s="306"/>
      <c r="AO150" s="307"/>
      <c r="AP150" s="298"/>
      <c r="AQ150" s="307"/>
      <c r="AR150" s="298"/>
      <c r="AS150" s="307"/>
      <c r="AT150" s="298"/>
      <c r="AU150" s="307"/>
      <c r="AV150" s="601">
        <f t="shared" si="63"/>
        <v>0</v>
      </c>
      <c r="AW150" s="609">
        <f t="shared" si="64"/>
        <v>0</v>
      </c>
      <c r="AX150" s="603">
        <f t="shared" si="65"/>
        <v>0</v>
      </c>
      <c r="AY150" s="610">
        <f t="shared" si="66"/>
        <v>0</v>
      </c>
      <c r="AZ150" s="611">
        <f t="shared" si="67"/>
        <v>2466.9666666666667</v>
      </c>
      <c r="BA150" s="603">
        <f t="shared" si="68"/>
        <v>2705.6</v>
      </c>
    </row>
    <row r="151" spans="1:53">
      <c r="A151" s="372" t="s">
        <v>158</v>
      </c>
      <c r="B151" s="373" t="s">
        <v>353</v>
      </c>
      <c r="C151" s="374"/>
      <c r="D151" s="372">
        <v>139700</v>
      </c>
      <c r="E151" s="379">
        <v>9</v>
      </c>
      <c r="F151" s="296" t="s">
        <v>52</v>
      </c>
      <c r="G151" s="297" t="s">
        <v>52</v>
      </c>
      <c r="H151" s="298"/>
      <c r="I151" s="299"/>
      <c r="J151" s="298">
        <v>54466</v>
      </c>
      <c r="K151" s="299">
        <v>54217</v>
      </c>
      <c r="L151" s="298">
        <v>13260</v>
      </c>
      <c r="M151" s="299">
        <f>14882</f>
        <v>14882</v>
      </c>
      <c r="N151" s="298">
        <v>55319</v>
      </c>
      <c r="O151" s="299">
        <v>57318</v>
      </c>
      <c r="P151" s="601">
        <f t="shared" si="51"/>
        <v>123045</v>
      </c>
      <c r="Q151" s="602">
        <f t="shared" si="52"/>
        <v>4101.5</v>
      </c>
      <c r="R151" s="603">
        <f t="shared" si="53"/>
        <v>126417</v>
      </c>
      <c r="S151" s="604">
        <f t="shared" si="54"/>
        <v>4213.8999999999996</v>
      </c>
      <c r="T151" s="298">
        <v>805</v>
      </c>
      <c r="U151" s="299">
        <v>1083</v>
      </c>
      <c r="V151" s="601">
        <f t="shared" si="55"/>
        <v>123045</v>
      </c>
      <c r="W151" s="605">
        <f t="shared" si="56"/>
        <v>126417</v>
      </c>
      <c r="X151" s="305"/>
      <c r="Y151" s="299"/>
      <c r="Z151" s="298"/>
      <c r="AA151" s="299"/>
      <c r="AB151" s="298"/>
      <c r="AC151" s="299"/>
      <c r="AD151" s="298"/>
      <c r="AE151" s="299"/>
      <c r="AF151" s="601">
        <f t="shared" si="57"/>
        <v>0</v>
      </c>
      <c r="AG151" s="602">
        <f t="shared" si="58"/>
        <v>0</v>
      </c>
      <c r="AH151" s="603">
        <f t="shared" si="59"/>
        <v>0</v>
      </c>
      <c r="AI151" s="603">
        <f t="shared" si="60"/>
        <v>0</v>
      </c>
      <c r="AJ151" s="298"/>
      <c r="AK151" s="299"/>
      <c r="AL151" s="601">
        <f t="shared" si="61"/>
        <v>0</v>
      </c>
      <c r="AM151" s="604">
        <f t="shared" si="62"/>
        <v>0</v>
      </c>
      <c r="AN151" s="306"/>
      <c r="AO151" s="307"/>
      <c r="AP151" s="298"/>
      <c r="AQ151" s="307"/>
      <c r="AR151" s="298"/>
      <c r="AS151" s="307"/>
      <c r="AT151" s="298"/>
      <c r="AU151" s="307"/>
      <c r="AV151" s="601">
        <f t="shared" si="63"/>
        <v>0</v>
      </c>
      <c r="AW151" s="609">
        <f t="shared" si="64"/>
        <v>0</v>
      </c>
      <c r="AX151" s="603">
        <f t="shared" si="65"/>
        <v>0</v>
      </c>
      <c r="AY151" s="610">
        <f t="shared" si="66"/>
        <v>0</v>
      </c>
      <c r="AZ151" s="611">
        <f t="shared" si="67"/>
        <v>4101.5</v>
      </c>
      <c r="BA151" s="603">
        <f t="shared" si="68"/>
        <v>4213.8999999999996</v>
      </c>
    </row>
    <row r="152" spans="1:53">
      <c r="A152" s="372" t="s">
        <v>158</v>
      </c>
      <c r="B152" s="373" t="s">
        <v>355</v>
      </c>
      <c r="C152" s="374" t="s">
        <v>457</v>
      </c>
      <c r="D152" s="372">
        <v>140483</v>
      </c>
      <c r="E152" s="372">
        <v>9</v>
      </c>
      <c r="F152" s="296" t="s">
        <v>52</v>
      </c>
      <c r="G152" s="297" t="s">
        <v>52</v>
      </c>
      <c r="H152" s="298"/>
      <c r="I152" s="299"/>
      <c r="J152" s="298">
        <v>40918</v>
      </c>
      <c r="K152" s="299">
        <f>38110+1424</f>
        <v>39534</v>
      </c>
      <c r="L152" s="298">
        <v>12523</v>
      </c>
      <c r="M152" s="299">
        <f>11797+852</f>
        <v>12649</v>
      </c>
      <c r="N152" s="298">
        <v>41598</v>
      </c>
      <c r="O152" s="299">
        <v>40079</v>
      </c>
      <c r="P152" s="601">
        <f t="shared" si="51"/>
        <v>95039</v>
      </c>
      <c r="Q152" s="602">
        <f t="shared" si="52"/>
        <v>3167.9666666666667</v>
      </c>
      <c r="R152" s="603">
        <f t="shared" si="53"/>
        <v>92262</v>
      </c>
      <c r="S152" s="604">
        <f t="shared" si="54"/>
        <v>3075.4</v>
      </c>
      <c r="T152" s="298">
        <v>3789</v>
      </c>
      <c r="U152" s="299">
        <v>3334</v>
      </c>
      <c r="V152" s="601">
        <f t="shared" si="55"/>
        <v>95039</v>
      </c>
      <c r="W152" s="605">
        <f t="shared" si="56"/>
        <v>92262</v>
      </c>
      <c r="X152" s="305"/>
      <c r="Y152" s="299"/>
      <c r="Z152" s="298"/>
      <c r="AA152" s="299"/>
      <c r="AB152" s="298"/>
      <c r="AC152" s="299"/>
      <c r="AD152" s="298"/>
      <c r="AE152" s="299"/>
      <c r="AF152" s="601">
        <f t="shared" si="57"/>
        <v>0</v>
      </c>
      <c r="AG152" s="602">
        <f t="shared" si="58"/>
        <v>0</v>
      </c>
      <c r="AH152" s="603">
        <f t="shared" si="59"/>
        <v>0</v>
      </c>
      <c r="AI152" s="603">
        <f t="shared" si="60"/>
        <v>0</v>
      </c>
      <c r="AJ152" s="298"/>
      <c r="AK152" s="299"/>
      <c r="AL152" s="601">
        <f t="shared" si="61"/>
        <v>0</v>
      </c>
      <c r="AM152" s="604">
        <f t="shared" si="62"/>
        <v>0</v>
      </c>
      <c r="AN152" s="306"/>
      <c r="AO152" s="307"/>
      <c r="AP152" s="298"/>
      <c r="AQ152" s="307"/>
      <c r="AR152" s="298"/>
      <c r="AS152" s="307"/>
      <c r="AT152" s="298"/>
      <c r="AU152" s="307"/>
      <c r="AV152" s="601">
        <f t="shared" si="63"/>
        <v>0</v>
      </c>
      <c r="AW152" s="609">
        <f t="shared" si="64"/>
        <v>0</v>
      </c>
      <c r="AX152" s="603">
        <f t="shared" si="65"/>
        <v>0</v>
      </c>
      <c r="AY152" s="610">
        <f t="shared" si="66"/>
        <v>0</v>
      </c>
      <c r="AZ152" s="611">
        <f t="shared" si="67"/>
        <v>3167.9666666666667</v>
      </c>
      <c r="BA152" s="603">
        <f t="shared" si="68"/>
        <v>3075.4</v>
      </c>
    </row>
    <row r="153" spans="1:53">
      <c r="A153" s="372" t="s">
        <v>158</v>
      </c>
      <c r="B153" s="373" t="s">
        <v>358</v>
      </c>
      <c r="C153" s="374"/>
      <c r="D153" s="372">
        <v>140997</v>
      </c>
      <c r="E153" s="372">
        <v>10</v>
      </c>
      <c r="F153" s="296" t="s">
        <v>52</v>
      </c>
      <c r="G153" s="297" t="s">
        <v>52</v>
      </c>
      <c r="H153" s="298"/>
      <c r="I153" s="299"/>
      <c r="J153" s="298">
        <v>23064</v>
      </c>
      <c r="K153" s="299">
        <v>23745</v>
      </c>
      <c r="L153" s="298">
        <v>7438</v>
      </c>
      <c r="M153" s="299">
        <v>7156</v>
      </c>
      <c r="N153" s="298">
        <v>26935</v>
      </c>
      <c r="O153" s="299">
        <v>27869</v>
      </c>
      <c r="P153" s="601">
        <f t="shared" si="51"/>
        <v>57437</v>
      </c>
      <c r="Q153" s="602">
        <f t="shared" si="52"/>
        <v>1914.5666666666666</v>
      </c>
      <c r="R153" s="603">
        <f t="shared" si="53"/>
        <v>58770</v>
      </c>
      <c r="S153" s="604">
        <f t="shared" si="54"/>
        <v>1959</v>
      </c>
      <c r="T153" s="298">
        <v>347</v>
      </c>
      <c r="U153" s="299">
        <v>472</v>
      </c>
      <c r="V153" s="601">
        <f t="shared" si="55"/>
        <v>57437</v>
      </c>
      <c r="W153" s="605">
        <f t="shared" si="56"/>
        <v>58770</v>
      </c>
      <c r="X153" s="305"/>
      <c r="Y153" s="299"/>
      <c r="Z153" s="298"/>
      <c r="AA153" s="299"/>
      <c r="AB153" s="298"/>
      <c r="AC153" s="299"/>
      <c r="AD153" s="298"/>
      <c r="AE153" s="299"/>
      <c r="AF153" s="601">
        <f t="shared" si="57"/>
        <v>0</v>
      </c>
      <c r="AG153" s="602">
        <f t="shared" si="58"/>
        <v>0</v>
      </c>
      <c r="AH153" s="603">
        <f t="shared" si="59"/>
        <v>0</v>
      </c>
      <c r="AI153" s="603">
        <f t="shared" si="60"/>
        <v>0</v>
      </c>
      <c r="AJ153" s="298"/>
      <c r="AK153" s="299"/>
      <c r="AL153" s="601">
        <f t="shared" si="61"/>
        <v>0</v>
      </c>
      <c r="AM153" s="604">
        <f t="shared" si="62"/>
        <v>0</v>
      </c>
      <c r="AN153" s="306"/>
      <c r="AO153" s="307"/>
      <c r="AP153" s="298"/>
      <c r="AQ153" s="307"/>
      <c r="AR153" s="298"/>
      <c r="AS153" s="307"/>
      <c r="AT153" s="298"/>
      <c r="AU153" s="307"/>
      <c r="AV153" s="601">
        <f t="shared" si="63"/>
        <v>0</v>
      </c>
      <c r="AW153" s="609">
        <f t="shared" si="64"/>
        <v>0</v>
      </c>
      <c r="AX153" s="603">
        <f t="shared" si="65"/>
        <v>0</v>
      </c>
      <c r="AY153" s="610">
        <f t="shared" si="66"/>
        <v>0</v>
      </c>
      <c r="AZ153" s="611">
        <f t="shared" si="67"/>
        <v>1914.5666666666666</v>
      </c>
      <c r="BA153" s="603">
        <f t="shared" si="68"/>
        <v>1959</v>
      </c>
    </row>
    <row r="154" spans="1:53">
      <c r="A154" s="380" t="s">
        <v>158</v>
      </c>
      <c r="B154" s="373" t="s">
        <v>359</v>
      </c>
      <c r="C154" s="374"/>
      <c r="D154" s="372">
        <v>141307</v>
      </c>
      <c r="E154" s="372">
        <v>10</v>
      </c>
      <c r="F154" s="296" t="s">
        <v>52</v>
      </c>
      <c r="G154" s="297" t="s">
        <v>52</v>
      </c>
      <c r="H154" s="298"/>
      <c r="I154" s="299"/>
      <c r="J154" s="298">
        <v>11128</v>
      </c>
      <c r="K154" s="299">
        <v>10389</v>
      </c>
      <c r="L154" s="298">
        <v>4720</v>
      </c>
      <c r="M154" s="299">
        <v>3317</v>
      </c>
      <c r="N154" s="298">
        <v>10688</v>
      </c>
      <c r="O154" s="299">
        <v>9159</v>
      </c>
      <c r="P154" s="601">
        <f t="shared" si="51"/>
        <v>26536</v>
      </c>
      <c r="Q154" s="602">
        <f t="shared" si="52"/>
        <v>884.5333333333333</v>
      </c>
      <c r="R154" s="603">
        <f t="shared" si="53"/>
        <v>22865</v>
      </c>
      <c r="S154" s="604">
        <f t="shared" si="54"/>
        <v>762.16666666666663</v>
      </c>
      <c r="T154" s="298">
        <v>1047</v>
      </c>
      <c r="U154" s="299">
        <v>1091</v>
      </c>
      <c r="V154" s="601">
        <f t="shared" si="55"/>
        <v>26536</v>
      </c>
      <c r="W154" s="605">
        <f t="shared" si="56"/>
        <v>22865</v>
      </c>
      <c r="X154" s="305"/>
      <c r="Y154" s="299"/>
      <c r="Z154" s="298"/>
      <c r="AA154" s="299"/>
      <c r="AB154" s="298"/>
      <c r="AC154" s="299"/>
      <c r="AD154" s="298"/>
      <c r="AE154" s="299"/>
      <c r="AF154" s="601">
        <f t="shared" si="57"/>
        <v>0</v>
      </c>
      <c r="AG154" s="602">
        <f t="shared" si="58"/>
        <v>0</v>
      </c>
      <c r="AH154" s="603">
        <f t="shared" si="59"/>
        <v>0</v>
      </c>
      <c r="AI154" s="603">
        <f t="shared" si="60"/>
        <v>0</v>
      </c>
      <c r="AJ154" s="298"/>
      <c r="AK154" s="299"/>
      <c r="AL154" s="601">
        <f t="shared" si="61"/>
        <v>0</v>
      </c>
      <c r="AM154" s="604">
        <f t="shared" si="62"/>
        <v>0</v>
      </c>
      <c r="AN154" s="306"/>
      <c r="AO154" s="307"/>
      <c r="AP154" s="298"/>
      <c r="AQ154" s="307"/>
      <c r="AR154" s="298"/>
      <c r="AS154" s="307"/>
      <c r="AT154" s="298"/>
      <c r="AU154" s="307"/>
      <c r="AV154" s="601">
        <f t="shared" si="63"/>
        <v>0</v>
      </c>
      <c r="AW154" s="609">
        <f t="shared" si="64"/>
        <v>0</v>
      </c>
      <c r="AX154" s="603">
        <f t="shared" si="65"/>
        <v>0</v>
      </c>
      <c r="AY154" s="610">
        <f t="shared" si="66"/>
        <v>0</v>
      </c>
      <c r="AZ154" s="611">
        <f t="shared" si="67"/>
        <v>884.5333333333333</v>
      </c>
      <c r="BA154" s="603">
        <f t="shared" si="68"/>
        <v>762.16666666666663</v>
      </c>
    </row>
    <row r="155" spans="1:53">
      <c r="A155" s="381" t="s">
        <v>158</v>
      </c>
      <c r="B155" s="382" t="s">
        <v>361</v>
      </c>
      <c r="C155" s="383"/>
      <c r="D155" s="384">
        <v>138682</v>
      </c>
      <c r="E155" s="385">
        <v>12</v>
      </c>
      <c r="F155" s="296" t="s">
        <v>52</v>
      </c>
      <c r="G155" s="297" t="s">
        <v>52</v>
      </c>
      <c r="H155" s="298">
        <v>33547.010600000001</v>
      </c>
      <c r="I155" s="299">
        <v>37569.199999999997</v>
      </c>
      <c r="J155" s="298">
        <v>34167.708299999998</v>
      </c>
      <c r="K155" s="299">
        <v>35802.5</v>
      </c>
      <c r="L155" s="298">
        <v>30838.208499999997</v>
      </c>
      <c r="M155" s="299">
        <v>32995</v>
      </c>
      <c r="N155" s="298">
        <v>37792.556199999999</v>
      </c>
      <c r="O155" s="299">
        <v>51561</v>
      </c>
      <c r="P155" s="601">
        <f t="shared" si="51"/>
        <v>136345.48360000001</v>
      </c>
      <c r="Q155" s="602">
        <f t="shared" si="52"/>
        <v>4544.8494533333333</v>
      </c>
      <c r="R155" s="603">
        <f t="shared" si="53"/>
        <v>157927.70000000001</v>
      </c>
      <c r="S155" s="604">
        <f t="shared" si="54"/>
        <v>5264.2566666666671</v>
      </c>
      <c r="T155" s="298">
        <v>452</v>
      </c>
      <c r="U155" s="299">
        <v>323</v>
      </c>
      <c r="V155" s="601">
        <f t="shared" si="55"/>
        <v>136345.48360000001</v>
      </c>
      <c r="W155" s="605">
        <f t="shared" si="56"/>
        <v>157927.70000000001</v>
      </c>
      <c r="X155" s="305"/>
      <c r="Y155" s="299"/>
      <c r="Z155" s="298"/>
      <c r="AA155" s="299"/>
      <c r="AB155" s="298"/>
      <c r="AC155" s="299"/>
      <c r="AD155" s="298"/>
      <c r="AE155" s="299"/>
      <c r="AF155" s="601">
        <f t="shared" si="57"/>
        <v>0</v>
      </c>
      <c r="AG155" s="602">
        <f t="shared" si="58"/>
        <v>0</v>
      </c>
      <c r="AH155" s="603">
        <f t="shared" si="59"/>
        <v>0</v>
      </c>
      <c r="AI155" s="603">
        <f t="shared" si="60"/>
        <v>0</v>
      </c>
      <c r="AJ155" s="298"/>
      <c r="AK155" s="299"/>
      <c r="AL155" s="601">
        <f t="shared" si="61"/>
        <v>0</v>
      </c>
      <c r="AM155" s="604">
        <f t="shared" si="62"/>
        <v>0</v>
      </c>
      <c r="AN155" s="306"/>
      <c r="AO155" s="307"/>
      <c r="AP155" s="298"/>
      <c r="AQ155" s="307"/>
      <c r="AR155" s="298"/>
      <c r="AS155" s="307"/>
      <c r="AT155" s="298"/>
      <c r="AU155" s="307"/>
      <c r="AV155" s="601">
        <f t="shared" si="63"/>
        <v>0</v>
      </c>
      <c r="AW155" s="609">
        <f t="shared" si="64"/>
        <v>0</v>
      </c>
      <c r="AX155" s="603">
        <f t="shared" si="65"/>
        <v>0</v>
      </c>
      <c r="AY155" s="610">
        <f t="shared" si="66"/>
        <v>0</v>
      </c>
      <c r="AZ155" s="611">
        <f t="shared" si="67"/>
        <v>4544.8494533333333</v>
      </c>
      <c r="BA155" s="603">
        <f t="shared" si="68"/>
        <v>5264.2566666666671</v>
      </c>
    </row>
    <row r="156" spans="1:53">
      <c r="A156" s="386" t="s">
        <v>158</v>
      </c>
      <c r="B156" s="387" t="s">
        <v>362</v>
      </c>
      <c r="C156" s="383"/>
      <c r="D156" s="388">
        <v>366447</v>
      </c>
      <c r="E156" s="389">
        <v>12</v>
      </c>
      <c r="F156" s="296" t="s">
        <v>52</v>
      </c>
      <c r="G156" s="297" t="s">
        <v>52</v>
      </c>
      <c r="H156" s="298">
        <v>11147.8907</v>
      </c>
      <c r="I156" s="299">
        <v>10602.2</v>
      </c>
      <c r="J156" s="298">
        <v>10527.859699999999</v>
      </c>
      <c r="K156" s="299">
        <v>10098.200000000001</v>
      </c>
      <c r="L156" s="298">
        <v>8702.4350999999988</v>
      </c>
      <c r="M156" s="299">
        <v>3622.2</v>
      </c>
      <c r="N156" s="298">
        <v>12093.271299999999</v>
      </c>
      <c r="O156" s="299">
        <v>12784</v>
      </c>
      <c r="P156" s="601">
        <f t="shared" si="51"/>
        <v>42471.456799999993</v>
      </c>
      <c r="Q156" s="602">
        <f t="shared" si="52"/>
        <v>1415.7152266666665</v>
      </c>
      <c r="R156" s="603">
        <f t="shared" si="53"/>
        <v>37106.600000000006</v>
      </c>
      <c r="S156" s="604">
        <f t="shared" si="54"/>
        <v>1236.8866666666668</v>
      </c>
      <c r="T156" s="298">
        <v>3288</v>
      </c>
      <c r="U156" s="299">
        <v>1507.1</v>
      </c>
      <c r="V156" s="601">
        <f t="shared" si="55"/>
        <v>42471.456799999993</v>
      </c>
      <c r="W156" s="605">
        <f t="shared" si="56"/>
        <v>37106.600000000006</v>
      </c>
      <c r="X156" s="305"/>
      <c r="Y156" s="299"/>
      <c r="Z156" s="298"/>
      <c r="AA156" s="299"/>
      <c r="AB156" s="298"/>
      <c r="AC156" s="299"/>
      <c r="AD156" s="298"/>
      <c r="AE156" s="299"/>
      <c r="AF156" s="601">
        <f t="shared" si="57"/>
        <v>0</v>
      </c>
      <c r="AG156" s="602">
        <f t="shared" si="58"/>
        <v>0</v>
      </c>
      <c r="AH156" s="603">
        <f t="shared" si="59"/>
        <v>0</v>
      </c>
      <c r="AI156" s="603">
        <f t="shared" si="60"/>
        <v>0</v>
      </c>
      <c r="AJ156" s="298"/>
      <c r="AK156" s="299"/>
      <c r="AL156" s="601">
        <f t="shared" si="61"/>
        <v>0</v>
      </c>
      <c r="AM156" s="604">
        <f t="shared" si="62"/>
        <v>0</v>
      </c>
      <c r="AN156" s="306"/>
      <c r="AO156" s="307"/>
      <c r="AP156" s="298"/>
      <c r="AQ156" s="307"/>
      <c r="AR156" s="298"/>
      <c r="AS156" s="307"/>
      <c r="AT156" s="298"/>
      <c r="AU156" s="307"/>
      <c r="AV156" s="601">
        <f t="shared" si="63"/>
        <v>0</v>
      </c>
      <c r="AW156" s="609">
        <f t="shared" si="64"/>
        <v>0</v>
      </c>
      <c r="AX156" s="603">
        <f t="shared" si="65"/>
        <v>0</v>
      </c>
      <c r="AY156" s="610">
        <f t="shared" si="66"/>
        <v>0</v>
      </c>
      <c r="AZ156" s="611">
        <f t="shared" si="67"/>
        <v>1415.7152266666665</v>
      </c>
      <c r="BA156" s="603">
        <f t="shared" si="68"/>
        <v>1236.8866666666668</v>
      </c>
    </row>
    <row r="157" spans="1:53">
      <c r="A157" s="390" t="s">
        <v>158</v>
      </c>
      <c r="B157" s="382" t="s">
        <v>363</v>
      </c>
      <c r="C157" s="383"/>
      <c r="D157" s="384">
        <v>246813</v>
      </c>
      <c r="E157" s="385">
        <v>12</v>
      </c>
      <c r="F157" s="296" t="s">
        <v>52</v>
      </c>
      <c r="G157" s="297" t="s">
        <v>52</v>
      </c>
      <c r="H157" s="298">
        <v>34402.386699999995</v>
      </c>
      <c r="I157" s="299">
        <v>36279.1</v>
      </c>
      <c r="J157" s="298">
        <v>32594.296299999998</v>
      </c>
      <c r="K157" s="299">
        <v>33147</v>
      </c>
      <c r="L157" s="298">
        <v>21445.7389</v>
      </c>
      <c r="M157" s="299">
        <v>12104.6</v>
      </c>
      <c r="N157" s="298">
        <v>38871.943500000001</v>
      </c>
      <c r="O157" s="299">
        <v>43959</v>
      </c>
      <c r="P157" s="601">
        <f t="shared" si="51"/>
        <v>127314.36539999998</v>
      </c>
      <c r="Q157" s="602">
        <f t="shared" si="52"/>
        <v>4243.812179999999</v>
      </c>
      <c r="R157" s="603">
        <f t="shared" si="53"/>
        <v>125489.70000000001</v>
      </c>
      <c r="S157" s="604">
        <f t="shared" si="54"/>
        <v>4182.9900000000007</v>
      </c>
      <c r="T157" s="298">
        <v>1109</v>
      </c>
      <c r="U157" s="299">
        <v>962</v>
      </c>
      <c r="V157" s="601">
        <f t="shared" si="55"/>
        <v>127314.36539999998</v>
      </c>
      <c r="W157" s="605">
        <f t="shared" si="56"/>
        <v>125489.70000000001</v>
      </c>
      <c r="X157" s="305"/>
      <c r="Y157" s="299"/>
      <c r="Z157" s="298"/>
      <c r="AA157" s="299"/>
      <c r="AB157" s="298"/>
      <c r="AC157" s="299"/>
      <c r="AD157" s="298"/>
      <c r="AE157" s="299"/>
      <c r="AF157" s="601">
        <f t="shared" si="57"/>
        <v>0</v>
      </c>
      <c r="AG157" s="602">
        <f t="shared" si="58"/>
        <v>0</v>
      </c>
      <c r="AH157" s="603">
        <f t="shared" si="59"/>
        <v>0</v>
      </c>
      <c r="AI157" s="603">
        <f t="shared" si="60"/>
        <v>0</v>
      </c>
      <c r="AJ157" s="298"/>
      <c r="AK157" s="299"/>
      <c r="AL157" s="601">
        <f t="shared" si="61"/>
        <v>0</v>
      </c>
      <c r="AM157" s="604">
        <f t="shared" si="62"/>
        <v>0</v>
      </c>
      <c r="AN157" s="306"/>
      <c r="AO157" s="307"/>
      <c r="AP157" s="298"/>
      <c r="AQ157" s="307"/>
      <c r="AR157" s="298"/>
      <c r="AS157" s="307"/>
      <c r="AT157" s="298"/>
      <c r="AU157" s="307"/>
      <c r="AV157" s="601">
        <f t="shared" si="63"/>
        <v>0</v>
      </c>
      <c r="AW157" s="609">
        <f t="shared" si="64"/>
        <v>0</v>
      </c>
      <c r="AX157" s="603">
        <f t="shared" si="65"/>
        <v>0</v>
      </c>
      <c r="AY157" s="610">
        <f t="shared" si="66"/>
        <v>0</v>
      </c>
      <c r="AZ157" s="611">
        <f t="shared" si="67"/>
        <v>4243.812179999999</v>
      </c>
      <c r="BA157" s="603">
        <f t="shared" si="68"/>
        <v>4182.9900000000007</v>
      </c>
    </row>
    <row r="158" spans="1:53">
      <c r="A158" s="390" t="s">
        <v>158</v>
      </c>
      <c r="B158" s="382" t="s">
        <v>364</v>
      </c>
      <c r="C158" s="383"/>
      <c r="D158" s="384">
        <v>138840</v>
      </c>
      <c r="E158" s="385">
        <v>12</v>
      </c>
      <c r="F158" s="296" t="s">
        <v>52</v>
      </c>
      <c r="G158" s="297" t="s">
        <v>52</v>
      </c>
      <c r="H158" s="298">
        <v>37775.888699999996</v>
      </c>
      <c r="I158" s="299">
        <v>36866.5</v>
      </c>
      <c r="J158" s="298">
        <v>37771.888500000001</v>
      </c>
      <c r="K158" s="299">
        <v>36451.199999999997</v>
      </c>
      <c r="L158" s="298">
        <v>31954.264299999999</v>
      </c>
      <c r="M158" s="299">
        <v>25381.9</v>
      </c>
      <c r="N158" s="298">
        <v>38652.599199999997</v>
      </c>
      <c r="O158" s="299">
        <v>40562</v>
      </c>
      <c r="P158" s="601">
        <f t="shared" si="51"/>
        <v>146154.64069999999</v>
      </c>
      <c r="Q158" s="602">
        <f t="shared" si="52"/>
        <v>4871.8213566666664</v>
      </c>
      <c r="R158" s="603">
        <f t="shared" si="53"/>
        <v>139261.6</v>
      </c>
      <c r="S158" s="604">
        <f t="shared" si="54"/>
        <v>4642.0533333333333</v>
      </c>
      <c r="T158" s="298">
        <v>2329</v>
      </c>
      <c r="U158" s="299">
        <v>1877.3</v>
      </c>
      <c r="V158" s="601">
        <f t="shared" si="55"/>
        <v>146154.64069999999</v>
      </c>
      <c r="W158" s="605">
        <f t="shared" si="56"/>
        <v>139261.6</v>
      </c>
      <c r="X158" s="305"/>
      <c r="Y158" s="299"/>
      <c r="Z158" s="298"/>
      <c r="AA158" s="299"/>
      <c r="AB158" s="298"/>
      <c r="AC158" s="299"/>
      <c r="AD158" s="298"/>
      <c r="AE158" s="299"/>
      <c r="AF158" s="601">
        <f t="shared" si="57"/>
        <v>0</v>
      </c>
      <c r="AG158" s="602">
        <f t="shared" si="58"/>
        <v>0</v>
      </c>
      <c r="AH158" s="603">
        <f t="shared" si="59"/>
        <v>0</v>
      </c>
      <c r="AI158" s="603">
        <f t="shared" si="60"/>
        <v>0</v>
      </c>
      <c r="AJ158" s="298"/>
      <c r="AK158" s="299"/>
      <c r="AL158" s="601">
        <f t="shared" si="61"/>
        <v>0</v>
      </c>
      <c r="AM158" s="604">
        <f t="shared" si="62"/>
        <v>0</v>
      </c>
      <c r="AN158" s="306"/>
      <c r="AO158" s="307"/>
      <c r="AP158" s="298"/>
      <c r="AQ158" s="307"/>
      <c r="AR158" s="298"/>
      <c r="AS158" s="307"/>
      <c r="AT158" s="298"/>
      <c r="AU158" s="307"/>
      <c r="AV158" s="601">
        <f t="shared" si="63"/>
        <v>0</v>
      </c>
      <c r="AW158" s="609">
        <f t="shared" si="64"/>
        <v>0</v>
      </c>
      <c r="AX158" s="603">
        <f t="shared" si="65"/>
        <v>0</v>
      </c>
      <c r="AY158" s="610">
        <f t="shared" si="66"/>
        <v>0</v>
      </c>
      <c r="AZ158" s="611">
        <f t="shared" si="67"/>
        <v>4871.8213566666664</v>
      </c>
      <c r="BA158" s="603">
        <f t="shared" si="68"/>
        <v>4642.0533333333333</v>
      </c>
    </row>
    <row r="159" spans="1:53">
      <c r="A159" s="390" t="s">
        <v>158</v>
      </c>
      <c r="B159" s="382" t="s">
        <v>365</v>
      </c>
      <c r="C159" s="383"/>
      <c r="D159" s="384">
        <v>138956</v>
      </c>
      <c r="E159" s="385">
        <v>12</v>
      </c>
      <c r="F159" s="296" t="s">
        <v>52</v>
      </c>
      <c r="G159" s="297" t="s">
        <v>52</v>
      </c>
      <c r="H159" s="298">
        <v>33486.340899999996</v>
      </c>
      <c r="I159" s="299">
        <v>33722.400000000001</v>
      </c>
      <c r="J159" s="298">
        <v>31612.9139</v>
      </c>
      <c r="K159" s="299">
        <v>31324.2</v>
      </c>
      <c r="L159" s="298">
        <v>25719.952599999997</v>
      </c>
      <c r="M159" s="299">
        <v>12452.6</v>
      </c>
      <c r="N159" s="298">
        <v>38543.927100000001</v>
      </c>
      <c r="O159" s="299">
        <v>41669</v>
      </c>
      <c r="P159" s="601">
        <f t="shared" si="51"/>
        <v>129363.13449999999</v>
      </c>
      <c r="Q159" s="602">
        <f t="shared" si="52"/>
        <v>4312.1044833333326</v>
      </c>
      <c r="R159" s="603">
        <f t="shared" si="53"/>
        <v>119168.20000000001</v>
      </c>
      <c r="S159" s="604">
        <f t="shared" si="54"/>
        <v>3972.2733333333335</v>
      </c>
      <c r="T159" s="298">
        <v>1611</v>
      </c>
      <c r="U159" s="299">
        <v>1048.0999999999999</v>
      </c>
      <c r="V159" s="601">
        <f t="shared" si="55"/>
        <v>129363.13449999999</v>
      </c>
      <c r="W159" s="605">
        <f t="shared" si="56"/>
        <v>119168.20000000001</v>
      </c>
      <c r="X159" s="305"/>
      <c r="Y159" s="299"/>
      <c r="Z159" s="298"/>
      <c r="AA159" s="299"/>
      <c r="AB159" s="298"/>
      <c r="AC159" s="299"/>
      <c r="AD159" s="298"/>
      <c r="AE159" s="299"/>
      <c r="AF159" s="601">
        <f t="shared" si="57"/>
        <v>0</v>
      </c>
      <c r="AG159" s="602">
        <f t="shared" si="58"/>
        <v>0</v>
      </c>
      <c r="AH159" s="603">
        <f t="shared" si="59"/>
        <v>0</v>
      </c>
      <c r="AI159" s="603">
        <f t="shared" si="60"/>
        <v>0</v>
      </c>
      <c r="AJ159" s="298"/>
      <c r="AK159" s="299"/>
      <c r="AL159" s="601">
        <f t="shared" si="61"/>
        <v>0</v>
      </c>
      <c r="AM159" s="604">
        <f t="shared" si="62"/>
        <v>0</v>
      </c>
      <c r="AN159" s="306"/>
      <c r="AO159" s="307"/>
      <c r="AP159" s="298"/>
      <c r="AQ159" s="307"/>
      <c r="AR159" s="298"/>
      <c r="AS159" s="307"/>
      <c r="AT159" s="298"/>
      <c r="AU159" s="307"/>
      <c r="AV159" s="601">
        <f t="shared" si="63"/>
        <v>0</v>
      </c>
      <c r="AW159" s="609">
        <f t="shared" si="64"/>
        <v>0</v>
      </c>
      <c r="AX159" s="603">
        <f t="shared" si="65"/>
        <v>0</v>
      </c>
      <c r="AY159" s="610">
        <f t="shared" si="66"/>
        <v>0</v>
      </c>
      <c r="AZ159" s="611">
        <f t="shared" si="67"/>
        <v>4312.1044833333326</v>
      </c>
      <c r="BA159" s="603">
        <f t="shared" si="68"/>
        <v>3972.2733333333335</v>
      </c>
    </row>
    <row r="160" spans="1:53">
      <c r="A160" s="390" t="s">
        <v>158</v>
      </c>
      <c r="B160" s="382" t="s">
        <v>366</v>
      </c>
      <c r="C160" s="383"/>
      <c r="D160" s="384">
        <v>140304</v>
      </c>
      <c r="E160" s="385">
        <v>12</v>
      </c>
      <c r="F160" s="296" t="s">
        <v>52</v>
      </c>
      <c r="G160" s="297" t="s">
        <v>52</v>
      </c>
      <c r="H160" s="298">
        <v>52015.933999999994</v>
      </c>
      <c r="I160" s="299">
        <v>54020</v>
      </c>
      <c r="J160" s="298">
        <v>49473.140199999994</v>
      </c>
      <c r="K160" s="299">
        <v>48719.1</v>
      </c>
      <c r="L160" s="298">
        <v>43476.840400000001</v>
      </c>
      <c r="M160" s="299">
        <v>23905.200000000001</v>
      </c>
      <c r="N160" s="298">
        <v>60434.354899999998</v>
      </c>
      <c r="O160" s="299">
        <v>58448</v>
      </c>
      <c r="P160" s="601">
        <f t="shared" si="51"/>
        <v>205400.26949999999</v>
      </c>
      <c r="Q160" s="602">
        <f t="shared" si="52"/>
        <v>6846.6756500000001</v>
      </c>
      <c r="R160" s="603">
        <f t="shared" si="53"/>
        <v>185092.3</v>
      </c>
      <c r="S160" s="604">
        <f t="shared" si="54"/>
        <v>6169.7433333333329</v>
      </c>
      <c r="T160" s="298">
        <v>3264</v>
      </c>
      <c r="U160" s="299">
        <v>2248</v>
      </c>
      <c r="V160" s="601">
        <f t="shared" si="55"/>
        <v>205400.26949999999</v>
      </c>
      <c r="W160" s="605">
        <f t="shared" si="56"/>
        <v>185092.3</v>
      </c>
      <c r="X160" s="305"/>
      <c r="Y160" s="299"/>
      <c r="Z160" s="298"/>
      <c r="AA160" s="299"/>
      <c r="AB160" s="298"/>
      <c r="AC160" s="299"/>
      <c r="AD160" s="298"/>
      <c r="AE160" s="299"/>
      <c r="AF160" s="601">
        <f t="shared" si="57"/>
        <v>0</v>
      </c>
      <c r="AG160" s="602">
        <f t="shared" si="58"/>
        <v>0</v>
      </c>
      <c r="AH160" s="603">
        <f t="shared" si="59"/>
        <v>0</v>
      </c>
      <c r="AI160" s="603">
        <f t="shared" si="60"/>
        <v>0</v>
      </c>
      <c r="AJ160" s="298"/>
      <c r="AK160" s="299"/>
      <c r="AL160" s="601">
        <f t="shared" si="61"/>
        <v>0</v>
      </c>
      <c r="AM160" s="604">
        <f t="shared" si="62"/>
        <v>0</v>
      </c>
      <c r="AN160" s="306"/>
      <c r="AO160" s="307"/>
      <c r="AP160" s="298"/>
      <c r="AQ160" s="307"/>
      <c r="AR160" s="298"/>
      <c r="AS160" s="307"/>
      <c r="AT160" s="298"/>
      <c r="AU160" s="307"/>
      <c r="AV160" s="601">
        <f t="shared" si="63"/>
        <v>0</v>
      </c>
      <c r="AW160" s="609">
        <f t="shared" si="64"/>
        <v>0</v>
      </c>
      <c r="AX160" s="603">
        <f t="shared" si="65"/>
        <v>0</v>
      </c>
      <c r="AY160" s="610">
        <f t="shared" si="66"/>
        <v>0</v>
      </c>
      <c r="AZ160" s="611">
        <f t="shared" si="67"/>
        <v>6846.6756500000001</v>
      </c>
      <c r="BA160" s="603">
        <f t="shared" si="68"/>
        <v>6169.7433333333329</v>
      </c>
    </row>
    <row r="161" spans="1:53">
      <c r="A161" s="390" t="s">
        <v>158</v>
      </c>
      <c r="B161" s="391" t="s">
        <v>367</v>
      </c>
      <c r="C161" s="383"/>
      <c r="D161" s="384">
        <v>140331</v>
      </c>
      <c r="E161" s="385">
        <v>12</v>
      </c>
      <c r="F161" s="296" t="s">
        <v>52</v>
      </c>
      <c r="G161" s="297" t="s">
        <v>52</v>
      </c>
      <c r="H161" s="298">
        <v>79721.319199999998</v>
      </c>
      <c r="I161" s="299">
        <v>91757.3</v>
      </c>
      <c r="J161" s="298">
        <v>81272.063399999999</v>
      </c>
      <c r="K161" s="299">
        <v>85064.9</v>
      </c>
      <c r="L161" s="298">
        <v>61834.424899999998</v>
      </c>
      <c r="M161" s="299">
        <v>32122.3</v>
      </c>
      <c r="N161" s="298">
        <v>96390.152600000001</v>
      </c>
      <c r="O161" s="299">
        <v>99754</v>
      </c>
      <c r="P161" s="601">
        <f t="shared" si="51"/>
        <v>319217.96010000003</v>
      </c>
      <c r="Q161" s="602">
        <f t="shared" si="52"/>
        <v>10640.598670000001</v>
      </c>
      <c r="R161" s="603">
        <f t="shared" si="53"/>
        <v>308698.5</v>
      </c>
      <c r="S161" s="604">
        <f t="shared" si="54"/>
        <v>10289.950000000001</v>
      </c>
      <c r="T161" s="298">
        <v>2290</v>
      </c>
      <c r="U161" s="299">
        <v>2195.4</v>
      </c>
      <c r="V161" s="601">
        <f t="shared" si="55"/>
        <v>319217.96010000003</v>
      </c>
      <c r="W161" s="605">
        <f t="shared" si="56"/>
        <v>308698.5</v>
      </c>
      <c r="X161" s="305"/>
      <c r="Y161" s="299"/>
      <c r="Z161" s="298"/>
      <c r="AA161" s="299"/>
      <c r="AB161" s="298"/>
      <c r="AC161" s="299"/>
      <c r="AD161" s="298"/>
      <c r="AE161" s="299"/>
      <c r="AF161" s="601">
        <f t="shared" si="57"/>
        <v>0</v>
      </c>
      <c r="AG161" s="602">
        <f t="shared" si="58"/>
        <v>0</v>
      </c>
      <c r="AH161" s="603">
        <f t="shared" si="59"/>
        <v>0</v>
      </c>
      <c r="AI161" s="603">
        <f t="shared" si="60"/>
        <v>0</v>
      </c>
      <c r="AJ161" s="298"/>
      <c r="AK161" s="299"/>
      <c r="AL161" s="601">
        <f t="shared" si="61"/>
        <v>0</v>
      </c>
      <c r="AM161" s="604">
        <f t="shared" si="62"/>
        <v>0</v>
      </c>
      <c r="AN161" s="306"/>
      <c r="AO161" s="307"/>
      <c r="AP161" s="298"/>
      <c r="AQ161" s="307"/>
      <c r="AR161" s="298"/>
      <c r="AS161" s="307"/>
      <c r="AT161" s="298"/>
      <c r="AU161" s="307"/>
      <c r="AV161" s="601">
        <f t="shared" si="63"/>
        <v>0</v>
      </c>
      <c r="AW161" s="609">
        <f t="shared" si="64"/>
        <v>0</v>
      </c>
      <c r="AX161" s="603">
        <f t="shared" si="65"/>
        <v>0</v>
      </c>
      <c r="AY161" s="610">
        <f t="shared" si="66"/>
        <v>0</v>
      </c>
      <c r="AZ161" s="611">
        <f t="shared" si="67"/>
        <v>10640.598670000001</v>
      </c>
      <c r="BA161" s="603">
        <f t="shared" si="68"/>
        <v>10289.950000000001</v>
      </c>
    </row>
    <row r="162" spans="1:53">
      <c r="A162" s="381" t="s">
        <v>158</v>
      </c>
      <c r="B162" s="382" t="s">
        <v>368</v>
      </c>
      <c r="C162" s="383"/>
      <c r="D162" s="384">
        <v>139357</v>
      </c>
      <c r="E162" s="385">
        <v>12</v>
      </c>
      <c r="F162" s="296" t="s">
        <v>52</v>
      </c>
      <c r="G162" s="297" t="s">
        <v>52</v>
      </c>
      <c r="H162" s="298">
        <v>26607.330299999998</v>
      </c>
      <c r="I162" s="299">
        <v>27443.4</v>
      </c>
      <c r="J162" s="298">
        <v>25703.951799999999</v>
      </c>
      <c r="K162" s="299">
        <v>26314.6</v>
      </c>
      <c r="L162" s="298">
        <v>20734.37</v>
      </c>
      <c r="M162" s="299">
        <v>7903.1</v>
      </c>
      <c r="N162" s="298">
        <v>29527.476299999998</v>
      </c>
      <c r="O162" s="299">
        <v>33611</v>
      </c>
      <c r="P162" s="601">
        <f t="shared" si="51"/>
        <v>102573.12839999999</v>
      </c>
      <c r="Q162" s="602">
        <f t="shared" si="52"/>
        <v>3419.1042799999996</v>
      </c>
      <c r="R162" s="603">
        <f t="shared" si="53"/>
        <v>95272.1</v>
      </c>
      <c r="S162" s="604">
        <f t="shared" si="54"/>
        <v>3175.7366666666667</v>
      </c>
      <c r="T162" s="298">
        <v>2653.3</v>
      </c>
      <c r="U162" s="299">
        <v>1924.5</v>
      </c>
      <c r="V162" s="601">
        <f t="shared" si="55"/>
        <v>102573.12839999999</v>
      </c>
      <c r="W162" s="605">
        <f t="shared" si="56"/>
        <v>95272.1</v>
      </c>
      <c r="X162" s="305"/>
      <c r="Y162" s="299"/>
      <c r="Z162" s="298"/>
      <c r="AA162" s="299"/>
      <c r="AB162" s="298"/>
      <c r="AC162" s="299"/>
      <c r="AD162" s="298"/>
      <c r="AE162" s="299"/>
      <c r="AF162" s="601">
        <f t="shared" si="57"/>
        <v>0</v>
      </c>
      <c r="AG162" s="602">
        <f t="shared" si="58"/>
        <v>0</v>
      </c>
      <c r="AH162" s="603">
        <f t="shared" si="59"/>
        <v>0</v>
      </c>
      <c r="AI162" s="603">
        <f t="shared" si="60"/>
        <v>0</v>
      </c>
      <c r="AJ162" s="298"/>
      <c r="AK162" s="299"/>
      <c r="AL162" s="601">
        <f t="shared" si="61"/>
        <v>0</v>
      </c>
      <c r="AM162" s="604">
        <f t="shared" si="62"/>
        <v>0</v>
      </c>
      <c r="AN162" s="306"/>
      <c r="AO162" s="307"/>
      <c r="AP162" s="298"/>
      <c r="AQ162" s="307"/>
      <c r="AR162" s="298"/>
      <c r="AS162" s="307"/>
      <c r="AT162" s="298"/>
      <c r="AU162" s="307"/>
      <c r="AV162" s="601">
        <f t="shared" si="63"/>
        <v>0</v>
      </c>
      <c r="AW162" s="609">
        <f t="shared" si="64"/>
        <v>0</v>
      </c>
      <c r="AX162" s="603">
        <f t="shared" si="65"/>
        <v>0</v>
      </c>
      <c r="AY162" s="610">
        <f t="shared" si="66"/>
        <v>0</v>
      </c>
      <c r="AZ162" s="611">
        <f t="shared" si="67"/>
        <v>3419.1042799999996</v>
      </c>
      <c r="BA162" s="603">
        <f t="shared" si="68"/>
        <v>3175.7366666666667</v>
      </c>
    </row>
    <row r="163" spans="1:53">
      <c r="A163" s="381" t="s">
        <v>158</v>
      </c>
      <c r="B163" s="391" t="s">
        <v>369</v>
      </c>
      <c r="C163" s="383"/>
      <c r="D163" s="384">
        <v>139384</v>
      </c>
      <c r="E163" s="385">
        <v>12</v>
      </c>
      <c r="F163" s="296" t="s">
        <v>52</v>
      </c>
      <c r="G163" s="297" t="s">
        <v>52</v>
      </c>
      <c r="H163" s="298">
        <v>44979.582199999997</v>
      </c>
      <c r="I163" s="299">
        <v>48301.1</v>
      </c>
      <c r="J163" s="298">
        <v>43988.1993</v>
      </c>
      <c r="K163" s="299">
        <v>45131.6</v>
      </c>
      <c r="L163" s="298">
        <v>35226.427899999995</v>
      </c>
      <c r="M163" s="299">
        <v>21635.1</v>
      </c>
      <c r="N163" s="298">
        <v>50874.543599999997</v>
      </c>
      <c r="O163" s="299">
        <v>59364</v>
      </c>
      <c r="P163" s="601">
        <f t="shared" si="51"/>
        <v>175068.753</v>
      </c>
      <c r="Q163" s="602">
        <f t="shared" si="52"/>
        <v>5835.6251000000002</v>
      </c>
      <c r="R163" s="603">
        <f t="shared" si="53"/>
        <v>174431.8</v>
      </c>
      <c r="S163" s="604">
        <f t="shared" si="54"/>
        <v>5814.3933333333325</v>
      </c>
      <c r="T163" s="298">
        <v>5541</v>
      </c>
      <c r="U163" s="299">
        <v>4173.8</v>
      </c>
      <c r="V163" s="601">
        <f t="shared" si="55"/>
        <v>175068.753</v>
      </c>
      <c r="W163" s="605">
        <f t="shared" si="56"/>
        <v>174431.8</v>
      </c>
      <c r="X163" s="305"/>
      <c r="Y163" s="299"/>
      <c r="Z163" s="298"/>
      <c r="AA163" s="299"/>
      <c r="AB163" s="298"/>
      <c r="AC163" s="299"/>
      <c r="AD163" s="298"/>
      <c r="AE163" s="299"/>
      <c r="AF163" s="601">
        <f t="shared" si="57"/>
        <v>0</v>
      </c>
      <c r="AG163" s="602">
        <f t="shared" si="58"/>
        <v>0</v>
      </c>
      <c r="AH163" s="603">
        <f t="shared" si="59"/>
        <v>0</v>
      </c>
      <c r="AI163" s="603">
        <f t="shared" si="60"/>
        <v>0</v>
      </c>
      <c r="AJ163" s="298"/>
      <c r="AK163" s="299"/>
      <c r="AL163" s="601">
        <f t="shared" si="61"/>
        <v>0</v>
      </c>
      <c r="AM163" s="604">
        <f t="shared" si="62"/>
        <v>0</v>
      </c>
      <c r="AN163" s="306"/>
      <c r="AO163" s="307"/>
      <c r="AP163" s="298"/>
      <c r="AQ163" s="307"/>
      <c r="AR163" s="298"/>
      <c r="AS163" s="307"/>
      <c r="AT163" s="298"/>
      <c r="AU163" s="307"/>
      <c r="AV163" s="601">
        <f t="shared" si="63"/>
        <v>0</v>
      </c>
      <c r="AW163" s="609">
        <f t="shared" si="64"/>
        <v>0</v>
      </c>
      <c r="AX163" s="603">
        <f t="shared" si="65"/>
        <v>0</v>
      </c>
      <c r="AY163" s="610">
        <f t="shared" si="66"/>
        <v>0</v>
      </c>
      <c r="AZ163" s="611">
        <f t="shared" si="67"/>
        <v>5835.6251000000002</v>
      </c>
      <c r="BA163" s="603">
        <f t="shared" si="68"/>
        <v>5814.3933333333325</v>
      </c>
    </row>
    <row r="164" spans="1:53">
      <c r="A164" s="381" t="s">
        <v>158</v>
      </c>
      <c r="B164" s="392" t="s">
        <v>370</v>
      </c>
      <c r="C164" s="393" t="s">
        <v>371</v>
      </c>
      <c r="D164" s="384">
        <v>244446</v>
      </c>
      <c r="E164" s="385">
        <v>12</v>
      </c>
      <c r="F164" s="296" t="s">
        <v>52</v>
      </c>
      <c r="G164" s="297" t="s">
        <v>52</v>
      </c>
      <c r="H164" s="298">
        <v>35567.778299999998</v>
      </c>
      <c r="I164" s="299">
        <v>36192.5</v>
      </c>
      <c r="J164" s="298">
        <v>34705.735199999996</v>
      </c>
      <c r="K164" s="299">
        <v>34126.400000000001</v>
      </c>
      <c r="L164" s="298">
        <v>27517.375799999998</v>
      </c>
      <c r="M164" s="299">
        <v>13138</v>
      </c>
      <c r="N164" s="298">
        <v>35634.448299999996</v>
      </c>
      <c r="O164" s="299">
        <v>35883</v>
      </c>
      <c r="P164" s="601">
        <f t="shared" si="51"/>
        <v>133425.3376</v>
      </c>
      <c r="Q164" s="602">
        <f t="shared" si="52"/>
        <v>4447.5112533333331</v>
      </c>
      <c r="R164" s="603">
        <f t="shared" si="53"/>
        <v>119339.9</v>
      </c>
      <c r="S164" s="604">
        <f t="shared" si="54"/>
        <v>3977.9966666666664</v>
      </c>
      <c r="T164" s="298">
        <v>1220.0999999999999</v>
      </c>
      <c r="U164" s="299">
        <v>1191.4000000000001</v>
      </c>
      <c r="V164" s="601">
        <f t="shared" si="55"/>
        <v>133425.3376</v>
      </c>
      <c r="W164" s="605">
        <f t="shared" si="56"/>
        <v>119339.9</v>
      </c>
      <c r="X164" s="305"/>
      <c r="Y164" s="299"/>
      <c r="Z164" s="298"/>
      <c r="AA164" s="299"/>
      <c r="AB164" s="298"/>
      <c r="AC164" s="299"/>
      <c r="AD164" s="298"/>
      <c r="AE164" s="299"/>
      <c r="AF164" s="601">
        <f t="shared" si="57"/>
        <v>0</v>
      </c>
      <c r="AG164" s="602">
        <f t="shared" si="58"/>
        <v>0</v>
      </c>
      <c r="AH164" s="603">
        <f t="shared" si="59"/>
        <v>0</v>
      </c>
      <c r="AI164" s="603">
        <f t="shared" si="60"/>
        <v>0</v>
      </c>
      <c r="AJ164" s="298"/>
      <c r="AK164" s="299"/>
      <c r="AL164" s="601">
        <f t="shared" si="61"/>
        <v>0</v>
      </c>
      <c r="AM164" s="604">
        <f t="shared" si="62"/>
        <v>0</v>
      </c>
      <c r="AN164" s="306"/>
      <c r="AO164" s="307"/>
      <c r="AP164" s="298"/>
      <c r="AQ164" s="307"/>
      <c r="AR164" s="298"/>
      <c r="AS164" s="307"/>
      <c r="AT164" s="298"/>
      <c r="AU164" s="307"/>
      <c r="AV164" s="601">
        <f t="shared" si="63"/>
        <v>0</v>
      </c>
      <c r="AW164" s="609">
        <f t="shared" si="64"/>
        <v>0</v>
      </c>
      <c r="AX164" s="603">
        <f t="shared" si="65"/>
        <v>0</v>
      </c>
      <c r="AY164" s="610">
        <f t="shared" si="66"/>
        <v>0</v>
      </c>
      <c r="AZ164" s="611">
        <f t="shared" si="67"/>
        <v>4447.5112533333331</v>
      </c>
      <c r="BA164" s="603">
        <f t="shared" si="68"/>
        <v>3977.9966666666664</v>
      </c>
    </row>
    <row r="165" spans="1:53">
      <c r="A165" s="386" t="s">
        <v>158</v>
      </c>
      <c r="B165" s="382" t="s">
        <v>372</v>
      </c>
      <c r="C165" s="383"/>
      <c r="D165" s="384">
        <v>140012</v>
      </c>
      <c r="E165" s="385">
        <v>12</v>
      </c>
      <c r="F165" s="296" t="s">
        <v>52</v>
      </c>
      <c r="G165" s="297" t="s">
        <v>52</v>
      </c>
      <c r="H165" s="298">
        <v>47017.684099999999</v>
      </c>
      <c r="I165" s="299">
        <v>49573.8</v>
      </c>
      <c r="J165" s="298">
        <v>47253.695899999999</v>
      </c>
      <c r="K165" s="299">
        <v>47859.1</v>
      </c>
      <c r="L165" s="298">
        <v>33377.002099999998</v>
      </c>
      <c r="M165" s="299">
        <v>17142.900000000001</v>
      </c>
      <c r="N165" s="298">
        <v>51227.227899999998</v>
      </c>
      <c r="O165" s="299">
        <v>58997</v>
      </c>
      <c r="P165" s="601">
        <f t="shared" si="51"/>
        <v>178875.61</v>
      </c>
      <c r="Q165" s="602">
        <f t="shared" si="52"/>
        <v>5962.5203333333329</v>
      </c>
      <c r="R165" s="603">
        <f t="shared" si="53"/>
        <v>173572.8</v>
      </c>
      <c r="S165" s="604">
        <f t="shared" si="54"/>
        <v>5785.7599999999993</v>
      </c>
      <c r="T165" s="298">
        <v>578</v>
      </c>
      <c r="U165" s="299">
        <v>1122.7</v>
      </c>
      <c r="V165" s="601">
        <f t="shared" si="55"/>
        <v>178875.61</v>
      </c>
      <c r="W165" s="605">
        <f t="shared" si="56"/>
        <v>173572.8</v>
      </c>
      <c r="X165" s="305"/>
      <c r="Y165" s="299"/>
      <c r="Z165" s="298"/>
      <c r="AA165" s="299"/>
      <c r="AB165" s="298"/>
      <c r="AC165" s="299"/>
      <c r="AD165" s="298"/>
      <c r="AE165" s="299"/>
      <c r="AF165" s="601">
        <f t="shared" si="57"/>
        <v>0</v>
      </c>
      <c r="AG165" s="602">
        <f t="shared" si="58"/>
        <v>0</v>
      </c>
      <c r="AH165" s="603">
        <f t="shared" si="59"/>
        <v>0</v>
      </c>
      <c r="AI165" s="603">
        <f t="shared" si="60"/>
        <v>0</v>
      </c>
      <c r="AJ165" s="298"/>
      <c r="AK165" s="299"/>
      <c r="AL165" s="601">
        <f t="shared" si="61"/>
        <v>0</v>
      </c>
      <c r="AM165" s="604">
        <f t="shared" si="62"/>
        <v>0</v>
      </c>
      <c r="AN165" s="306"/>
      <c r="AO165" s="307"/>
      <c r="AP165" s="298"/>
      <c r="AQ165" s="307"/>
      <c r="AR165" s="298"/>
      <c r="AS165" s="307"/>
      <c r="AT165" s="298"/>
      <c r="AU165" s="307"/>
      <c r="AV165" s="601">
        <f t="shared" si="63"/>
        <v>0</v>
      </c>
      <c r="AW165" s="609">
        <f t="shared" si="64"/>
        <v>0</v>
      </c>
      <c r="AX165" s="603">
        <f t="shared" si="65"/>
        <v>0</v>
      </c>
      <c r="AY165" s="610">
        <f t="shared" si="66"/>
        <v>0</v>
      </c>
      <c r="AZ165" s="611">
        <f t="shared" si="67"/>
        <v>5962.5203333333329</v>
      </c>
      <c r="BA165" s="603">
        <f t="shared" si="68"/>
        <v>5785.7599999999993</v>
      </c>
    </row>
    <row r="166" spans="1:53">
      <c r="A166" s="386" t="s">
        <v>158</v>
      </c>
      <c r="B166" s="382" t="s">
        <v>373</v>
      </c>
      <c r="C166" s="383"/>
      <c r="D166" s="384">
        <v>140243</v>
      </c>
      <c r="E166" s="385">
        <v>12</v>
      </c>
      <c r="F166" s="296" t="s">
        <v>52</v>
      </c>
      <c r="G166" s="297" t="s">
        <v>52</v>
      </c>
      <c r="H166" s="298">
        <v>28524.092799999999</v>
      </c>
      <c r="I166" s="299">
        <v>28683.4</v>
      </c>
      <c r="J166" s="298">
        <v>27641.381999999998</v>
      </c>
      <c r="K166" s="299">
        <v>25922</v>
      </c>
      <c r="L166" s="298">
        <v>22991.816199999997</v>
      </c>
      <c r="M166" s="299">
        <v>8443.1</v>
      </c>
      <c r="N166" s="298">
        <v>30493.524599999997</v>
      </c>
      <c r="O166" s="299">
        <v>29904</v>
      </c>
      <c r="P166" s="601">
        <f t="shared" si="51"/>
        <v>109650.8156</v>
      </c>
      <c r="Q166" s="602">
        <f t="shared" si="52"/>
        <v>3655.0271866666667</v>
      </c>
      <c r="R166" s="603">
        <f t="shared" si="53"/>
        <v>92952.5</v>
      </c>
      <c r="S166" s="604">
        <f t="shared" si="54"/>
        <v>3098.4166666666665</v>
      </c>
      <c r="T166" s="298">
        <v>2281</v>
      </c>
      <c r="U166" s="299">
        <v>1555</v>
      </c>
      <c r="V166" s="601">
        <f t="shared" si="55"/>
        <v>109650.8156</v>
      </c>
      <c r="W166" s="605">
        <f t="shared" si="56"/>
        <v>92952.5</v>
      </c>
      <c r="X166" s="305"/>
      <c r="Y166" s="299"/>
      <c r="Z166" s="298"/>
      <c r="AA166" s="299"/>
      <c r="AB166" s="298"/>
      <c r="AC166" s="299"/>
      <c r="AD166" s="298"/>
      <c r="AE166" s="299"/>
      <c r="AF166" s="601">
        <f t="shared" si="57"/>
        <v>0</v>
      </c>
      <c r="AG166" s="602">
        <f t="shared" si="58"/>
        <v>0</v>
      </c>
      <c r="AH166" s="603">
        <f t="shared" si="59"/>
        <v>0</v>
      </c>
      <c r="AI166" s="603">
        <f t="shared" si="60"/>
        <v>0</v>
      </c>
      <c r="AJ166" s="298"/>
      <c r="AK166" s="299"/>
      <c r="AL166" s="601">
        <f t="shared" si="61"/>
        <v>0</v>
      </c>
      <c r="AM166" s="604">
        <f t="shared" si="62"/>
        <v>0</v>
      </c>
      <c r="AN166" s="306"/>
      <c r="AO166" s="307"/>
      <c r="AP166" s="298"/>
      <c r="AQ166" s="307"/>
      <c r="AR166" s="298"/>
      <c r="AS166" s="307"/>
      <c r="AT166" s="298"/>
      <c r="AU166" s="307"/>
      <c r="AV166" s="601">
        <f t="shared" si="63"/>
        <v>0</v>
      </c>
      <c r="AW166" s="609">
        <f t="shared" si="64"/>
        <v>0</v>
      </c>
      <c r="AX166" s="603">
        <f t="shared" si="65"/>
        <v>0</v>
      </c>
      <c r="AY166" s="610">
        <f t="shared" si="66"/>
        <v>0</v>
      </c>
      <c r="AZ166" s="611">
        <f t="shared" si="67"/>
        <v>3655.0271866666667</v>
      </c>
      <c r="BA166" s="603">
        <f t="shared" si="68"/>
        <v>3098.4166666666665</v>
      </c>
    </row>
    <row r="167" spans="1:53">
      <c r="A167" s="386" t="s">
        <v>158</v>
      </c>
      <c r="B167" s="382" t="s">
        <v>374</v>
      </c>
      <c r="C167" s="383"/>
      <c r="D167" s="384">
        <v>140085</v>
      </c>
      <c r="E167" s="385">
        <v>12</v>
      </c>
      <c r="F167" s="296" t="s">
        <v>52</v>
      </c>
      <c r="G167" s="297" t="s">
        <v>52</v>
      </c>
      <c r="H167" s="298">
        <v>29330.799799999997</v>
      </c>
      <c r="I167" s="299">
        <v>33682.400000000001</v>
      </c>
      <c r="J167" s="298">
        <v>27260.6963</v>
      </c>
      <c r="K167" s="299">
        <v>29323.5</v>
      </c>
      <c r="L167" s="298">
        <v>26774.005299999997</v>
      </c>
      <c r="M167" s="299">
        <v>11001.2</v>
      </c>
      <c r="N167" s="298">
        <v>34443.722099999999</v>
      </c>
      <c r="O167" s="299">
        <v>36611</v>
      </c>
      <c r="P167" s="601">
        <f t="shared" si="51"/>
        <v>117809.22349999999</v>
      </c>
      <c r="Q167" s="602">
        <f t="shared" si="52"/>
        <v>3926.9741166666663</v>
      </c>
      <c r="R167" s="603">
        <f t="shared" si="53"/>
        <v>110618.1</v>
      </c>
      <c r="S167" s="604">
        <f t="shared" si="54"/>
        <v>3687.27</v>
      </c>
      <c r="T167" s="298">
        <v>6833</v>
      </c>
      <c r="U167" s="299">
        <v>4122.3999999999996</v>
      </c>
      <c r="V167" s="601">
        <f t="shared" si="55"/>
        <v>117809.22349999999</v>
      </c>
      <c r="W167" s="605">
        <f t="shared" si="56"/>
        <v>110618.1</v>
      </c>
      <c r="X167" s="305"/>
      <c r="Y167" s="299"/>
      <c r="Z167" s="298"/>
      <c r="AA167" s="299"/>
      <c r="AB167" s="298"/>
      <c r="AC167" s="299"/>
      <c r="AD167" s="298"/>
      <c r="AE167" s="299"/>
      <c r="AF167" s="601">
        <f t="shared" si="57"/>
        <v>0</v>
      </c>
      <c r="AG167" s="602">
        <f t="shared" si="58"/>
        <v>0</v>
      </c>
      <c r="AH167" s="603">
        <f t="shared" si="59"/>
        <v>0</v>
      </c>
      <c r="AI167" s="603">
        <f t="shared" si="60"/>
        <v>0</v>
      </c>
      <c r="AJ167" s="298"/>
      <c r="AK167" s="299"/>
      <c r="AL167" s="601">
        <f t="shared" si="61"/>
        <v>0</v>
      </c>
      <c r="AM167" s="604">
        <f t="shared" si="62"/>
        <v>0</v>
      </c>
      <c r="AN167" s="306"/>
      <c r="AO167" s="307"/>
      <c r="AP167" s="298"/>
      <c r="AQ167" s="307"/>
      <c r="AR167" s="298"/>
      <c r="AS167" s="307"/>
      <c r="AT167" s="298"/>
      <c r="AU167" s="307"/>
      <c r="AV167" s="601">
        <f t="shared" si="63"/>
        <v>0</v>
      </c>
      <c r="AW167" s="609">
        <f t="shared" si="64"/>
        <v>0</v>
      </c>
      <c r="AX167" s="603">
        <f t="shared" si="65"/>
        <v>0</v>
      </c>
      <c r="AY167" s="610">
        <f t="shared" si="66"/>
        <v>0</v>
      </c>
      <c r="AZ167" s="611">
        <f t="shared" si="67"/>
        <v>3926.9741166666663</v>
      </c>
      <c r="BA167" s="603">
        <f t="shared" si="68"/>
        <v>3687.27</v>
      </c>
    </row>
    <row r="168" spans="1:53">
      <c r="A168" s="386" t="s">
        <v>158</v>
      </c>
      <c r="B168" s="382" t="s">
        <v>375</v>
      </c>
      <c r="C168" s="383"/>
      <c r="D168" s="384">
        <v>140599</v>
      </c>
      <c r="E168" s="385">
        <v>12</v>
      </c>
      <c r="F168" s="296" t="s">
        <v>52</v>
      </c>
      <c r="G168" s="297" t="s">
        <v>52</v>
      </c>
      <c r="H168" s="298">
        <v>18257.5795</v>
      </c>
      <c r="I168" s="299">
        <v>19075.599999999999</v>
      </c>
      <c r="J168" s="298">
        <v>17093.5213</v>
      </c>
      <c r="K168" s="299">
        <v>16884.8</v>
      </c>
      <c r="L168" s="298">
        <v>15706.1186</v>
      </c>
      <c r="M168" s="299">
        <v>7234.4</v>
      </c>
      <c r="N168" s="298">
        <v>19635.648399999998</v>
      </c>
      <c r="O168" s="299">
        <v>21431</v>
      </c>
      <c r="P168" s="601">
        <f t="shared" si="51"/>
        <v>70692.867800000007</v>
      </c>
      <c r="Q168" s="602">
        <f t="shared" si="52"/>
        <v>2356.4289266666669</v>
      </c>
      <c r="R168" s="603">
        <f t="shared" si="53"/>
        <v>64625.799999999996</v>
      </c>
      <c r="S168" s="604">
        <f t="shared" si="54"/>
        <v>2154.1933333333332</v>
      </c>
      <c r="T168" s="298">
        <v>6471</v>
      </c>
      <c r="U168" s="299">
        <v>4135.8</v>
      </c>
      <c r="V168" s="601">
        <f t="shared" si="55"/>
        <v>70692.867800000007</v>
      </c>
      <c r="W168" s="605">
        <f t="shared" si="56"/>
        <v>64625.799999999996</v>
      </c>
      <c r="X168" s="305"/>
      <c r="Y168" s="299"/>
      <c r="Z168" s="298"/>
      <c r="AA168" s="299"/>
      <c r="AB168" s="298"/>
      <c r="AC168" s="299"/>
      <c r="AD168" s="298"/>
      <c r="AE168" s="299"/>
      <c r="AF168" s="601">
        <f t="shared" si="57"/>
        <v>0</v>
      </c>
      <c r="AG168" s="602">
        <f t="shared" si="58"/>
        <v>0</v>
      </c>
      <c r="AH168" s="603">
        <f t="shared" si="59"/>
        <v>0</v>
      </c>
      <c r="AI168" s="603">
        <f t="shared" si="60"/>
        <v>0</v>
      </c>
      <c r="AJ168" s="298"/>
      <c r="AK168" s="299"/>
      <c r="AL168" s="601">
        <f t="shared" si="61"/>
        <v>0</v>
      </c>
      <c r="AM168" s="604">
        <f t="shared" si="62"/>
        <v>0</v>
      </c>
      <c r="AN168" s="306"/>
      <c r="AO168" s="307"/>
      <c r="AP168" s="298"/>
      <c r="AQ168" s="307"/>
      <c r="AR168" s="298"/>
      <c r="AS168" s="307"/>
      <c r="AT168" s="298"/>
      <c r="AU168" s="307"/>
      <c r="AV168" s="601">
        <f t="shared" si="63"/>
        <v>0</v>
      </c>
      <c r="AW168" s="609">
        <f t="shared" si="64"/>
        <v>0</v>
      </c>
      <c r="AX168" s="603">
        <f t="shared" si="65"/>
        <v>0</v>
      </c>
      <c r="AY168" s="610">
        <f t="shared" si="66"/>
        <v>0</v>
      </c>
      <c r="AZ168" s="611">
        <f t="shared" si="67"/>
        <v>2356.4289266666669</v>
      </c>
      <c r="BA168" s="603">
        <f t="shared" si="68"/>
        <v>2154.1933333333332</v>
      </c>
    </row>
    <row r="169" spans="1:53">
      <c r="A169" s="386" t="s">
        <v>158</v>
      </c>
      <c r="B169" s="382" t="s">
        <v>376</v>
      </c>
      <c r="C169" s="383"/>
      <c r="D169" s="384">
        <v>140678</v>
      </c>
      <c r="E169" s="385">
        <v>12</v>
      </c>
      <c r="F169" s="296" t="s">
        <v>52</v>
      </c>
      <c r="G169" s="297" t="s">
        <v>52</v>
      </c>
      <c r="H169" s="298">
        <v>22767.805</v>
      </c>
      <c r="I169" s="299">
        <v>20626.400000000001</v>
      </c>
      <c r="J169" s="298">
        <v>21553.744299999998</v>
      </c>
      <c r="K169" s="299">
        <v>18672.900000000001</v>
      </c>
      <c r="L169" s="298">
        <v>17196.1931</v>
      </c>
      <c r="M169" s="299">
        <v>7467</v>
      </c>
      <c r="N169" s="298">
        <v>22905.811899999997</v>
      </c>
      <c r="O169" s="299">
        <v>25494</v>
      </c>
      <c r="P169" s="601">
        <f t="shared" si="51"/>
        <v>84423.554300000003</v>
      </c>
      <c r="Q169" s="602">
        <f t="shared" si="52"/>
        <v>2814.118476666667</v>
      </c>
      <c r="R169" s="603">
        <f t="shared" si="53"/>
        <v>72260.3</v>
      </c>
      <c r="S169" s="604">
        <f t="shared" si="54"/>
        <v>2408.6766666666667</v>
      </c>
      <c r="T169" s="298">
        <v>698.5</v>
      </c>
      <c r="U169" s="299">
        <v>480</v>
      </c>
      <c r="V169" s="601">
        <f t="shared" si="55"/>
        <v>84423.554300000003</v>
      </c>
      <c r="W169" s="605">
        <f t="shared" si="56"/>
        <v>72260.3</v>
      </c>
      <c r="X169" s="305"/>
      <c r="Y169" s="299"/>
      <c r="Z169" s="298"/>
      <c r="AA169" s="299"/>
      <c r="AB169" s="298"/>
      <c r="AC169" s="299"/>
      <c r="AD169" s="298"/>
      <c r="AE169" s="299"/>
      <c r="AF169" s="601">
        <f t="shared" si="57"/>
        <v>0</v>
      </c>
      <c r="AG169" s="602">
        <f t="shared" si="58"/>
        <v>0</v>
      </c>
      <c r="AH169" s="603">
        <f t="shared" si="59"/>
        <v>0</v>
      </c>
      <c r="AI169" s="603">
        <f t="shared" si="60"/>
        <v>0</v>
      </c>
      <c r="AJ169" s="298"/>
      <c r="AK169" s="299"/>
      <c r="AL169" s="601">
        <f t="shared" si="61"/>
        <v>0</v>
      </c>
      <c r="AM169" s="604">
        <f t="shared" si="62"/>
        <v>0</v>
      </c>
      <c r="AN169" s="306"/>
      <c r="AO169" s="307"/>
      <c r="AP169" s="298"/>
      <c r="AQ169" s="307"/>
      <c r="AR169" s="298"/>
      <c r="AS169" s="307"/>
      <c r="AT169" s="298"/>
      <c r="AU169" s="307"/>
      <c r="AV169" s="601">
        <f t="shared" si="63"/>
        <v>0</v>
      </c>
      <c r="AW169" s="609">
        <f t="shared" si="64"/>
        <v>0</v>
      </c>
      <c r="AX169" s="603">
        <f t="shared" si="65"/>
        <v>0</v>
      </c>
      <c r="AY169" s="610">
        <f t="shared" si="66"/>
        <v>0</v>
      </c>
      <c r="AZ169" s="611">
        <f t="shared" si="67"/>
        <v>2814.118476666667</v>
      </c>
      <c r="BA169" s="603">
        <f t="shared" si="68"/>
        <v>2408.6766666666667</v>
      </c>
    </row>
    <row r="170" spans="1:53">
      <c r="A170" s="386" t="s">
        <v>158</v>
      </c>
      <c r="B170" s="382" t="s">
        <v>377</v>
      </c>
      <c r="C170" s="383"/>
      <c r="D170" s="384">
        <v>366465</v>
      </c>
      <c r="E170" s="385">
        <v>12</v>
      </c>
      <c r="F170" s="296" t="s">
        <v>52</v>
      </c>
      <c r="G170" s="297" t="s">
        <v>52</v>
      </c>
      <c r="H170" s="298">
        <v>18244.245499999997</v>
      </c>
      <c r="I170" s="299">
        <v>21376.400000000001</v>
      </c>
      <c r="J170" s="298">
        <v>17638.8819</v>
      </c>
      <c r="K170" s="299">
        <v>20006.3</v>
      </c>
      <c r="L170" s="298">
        <v>15686.784299999999</v>
      </c>
      <c r="M170" s="299">
        <v>8146.4</v>
      </c>
      <c r="N170" s="298">
        <v>21958.431199999999</v>
      </c>
      <c r="O170" s="299">
        <v>21912</v>
      </c>
      <c r="P170" s="601">
        <f t="shared" si="51"/>
        <v>73528.342899999989</v>
      </c>
      <c r="Q170" s="602">
        <f t="shared" si="52"/>
        <v>2450.944763333333</v>
      </c>
      <c r="R170" s="603">
        <f t="shared" si="53"/>
        <v>71441.100000000006</v>
      </c>
      <c r="S170" s="604">
        <f t="shared" si="54"/>
        <v>2381.3700000000003</v>
      </c>
      <c r="T170" s="298">
        <v>1717</v>
      </c>
      <c r="U170" s="299">
        <v>1225.3</v>
      </c>
      <c r="V170" s="601">
        <f t="shared" si="55"/>
        <v>73528.342899999989</v>
      </c>
      <c r="W170" s="605">
        <f t="shared" si="56"/>
        <v>71441.100000000006</v>
      </c>
      <c r="X170" s="305"/>
      <c r="Y170" s="299"/>
      <c r="Z170" s="298"/>
      <c r="AA170" s="299"/>
      <c r="AB170" s="298"/>
      <c r="AC170" s="299"/>
      <c r="AD170" s="298"/>
      <c r="AE170" s="299"/>
      <c r="AF170" s="601">
        <f t="shared" si="57"/>
        <v>0</v>
      </c>
      <c r="AG170" s="602">
        <f t="shared" si="58"/>
        <v>0</v>
      </c>
      <c r="AH170" s="603">
        <f t="shared" si="59"/>
        <v>0</v>
      </c>
      <c r="AI170" s="603">
        <f t="shared" si="60"/>
        <v>0</v>
      </c>
      <c r="AJ170" s="298"/>
      <c r="AK170" s="299"/>
      <c r="AL170" s="601">
        <f t="shared" si="61"/>
        <v>0</v>
      </c>
      <c r="AM170" s="604">
        <f t="shared" si="62"/>
        <v>0</v>
      </c>
      <c r="AN170" s="306"/>
      <c r="AO170" s="307"/>
      <c r="AP170" s="298"/>
      <c r="AQ170" s="307"/>
      <c r="AR170" s="298"/>
      <c r="AS170" s="307"/>
      <c r="AT170" s="298"/>
      <c r="AU170" s="307"/>
      <c r="AV170" s="601">
        <f t="shared" si="63"/>
        <v>0</v>
      </c>
      <c r="AW170" s="609">
        <f t="shared" si="64"/>
        <v>0</v>
      </c>
      <c r="AX170" s="603">
        <f t="shared" si="65"/>
        <v>0</v>
      </c>
      <c r="AY170" s="610">
        <f t="shared" si="66"/>
        <v>0</v>
      </c>
      <c r="AZ170" s="611">
        <f t="shared" si="67"/>
        <v>2450.944763333333</v>
      </c>
      <c r="BA170" s="603">
        <f t="shared" si="68"/>
        <v>2381.3700000000003</v>
      </c>
    </row>
    <row r="171" spans="1:53">
      <c r="A171" s="386" t="s">
        <v>158</v>
      </c>
      <c r="B171" s="382" t="s">
        <v>378</v>
      </c>
      <c r="C171" s="383"/>
      <c r="D171" s="384">
        <v>248776</v>
      </c>
      <c r="E171" s="385">
        <v>12</v>
      </c>
      <c r="F171" s="296" t="s">
        <v>52</v>
      </c>
      <c r="G171" s="297" t="s">
        <v>52</v>
      </c>
      <c r="H171" s="298">
        <v>11126.889649999999</v>
      </c>
      <c r="I171" s="299">
        <v>10321.799999999999</v>
      </c>
      <c r="J171" s="298">
        <v>10321.849399999999</v>
      </c>
      <c r="K171" s="299">
        <v>9388.1</v>
      </c>
      <c r="L171" s="298">
        <v>9058.4529000000002</v>
      </c>
      <c r="M171" s="299">
        <v>3592.8</v>
      </c>
      <c r="N171" s="298">
        <v>11818.590899999999</v>
      </c>
      <c r="O171" s="299">
        <v>12025</v>
      </c>
      <c r="P171" s="601">
        <f t="shared" si="51"/>
        <v>42325.782849999996</v>
      </c>
      <c r="Q171" s="602">
        <f t="shared" si="52"/>
        <v>1410.8594283333332</v>
      </c>
      <c r="R171" s="603">
        <f t="shared" si="53"/>
        <v>35327.699999999997</v>
      </c>
      <c r="S171" s="604">
        <f t="shared" si="54"/>
        <v>1177.5899999999999</v>
      </c>
      <c r="T171" s="298">
        <v>1662.5</v>
      </c>
      <c r="U171" s="299">
        <v>1054.7</v>
      </c>
      <c r="V171" s="601">
        <f t="shared" si="55"/>
        <v>42325.782849999996</v>
      </c>
      <c r="W171" s="605">
        <f t="shared" si="56"/>
        <v>35327.699999999997</v>
      </c>
      <c r="X171" s="305"/>
      <c r="Y171" s="299"/>
      <c r="Z171" s="298"/>
      <c r="AA171" s="299"/>
      <c r="AB171" s="298"/>
      <c r="AC171" s="299"/>
      <c r="AD171" s="298"/>
      <c r="AE171" s="299"/>
      <c r="AF171" s="601">
        <f t="shared" si="57"/>
        <v>0</v>
      </c>
      <c r="AG171" s="602">
        <f t="shared" si="58"/>
        <v>0</v>
      </c>
      <c r="AH171" s="603">
        <f t="shared" si="59"/>
        <v>0</v>
      </c>
      <c r="AI171" s="603">
        <f t="shared" si="60"/>
        <v>0</v>
      </c>
      <c r="AJ171" s="298"/>
      <c r="AK171" s="299"/>
      <c r="AL171" s="601">
        <f t="shared" si="61"/>
        <v>0</v>
      </c>
      <c r="AM171" s="604">
        <f t="shared" si="62"/>
        <v>0</v>
      </c>
      <c r="AN171" s="306"/>
      <c r="AO171" s="307"/>
      <c r="AP171" s="298"/>
      <c r="AQ171" s="307"/>
      <c r="AR171" s="298"/>
      <c r="AS171" s="307"/>
      <c r="AT171" s="298"/>
      <c r="AU171" s="307"/>
      <c r="AV171" s="601">
        <f t="shared" si="63"/>
        <v>0</v>
      </c>
      <c r="AW171" s="609">
        <f t="shared" si="64"/>
        <v>0</v>
      </c>
      <c r="AX171" s="603">
        <f t="shared" si="65"/>
        <v>0</v>
      </c>
      <c r="AY171" s="610">
        <f t="shared" si="66"/>
        <v>0</v>
      </c>
      <c r="AZ171" s="611">
        <f t="shared" si="67"/>
        <v>1410.8594283333332</v>
      </c>
      <c r="BA171" s="603">
        <f t="shared" si="68"/>
        <v>1177.5899999999999</v>
      </c>
    </row>
    <row r="172" spans="1:53">
      <c r="A172" s="386" t="s">
        <v>158</v>
      </c>
      <c r="B172" s="382" t="s">
        <v>379</v>
      </c>
      <c r="C172" s="383"/>
      <c r="D172" s="384">
        <v>140942</v>
      </c>
      <c r="E172" s="385">
        <v>12</v>
      </c>
      <c r="F172" s="296" t="s">
        <v>52</v>
      </c>
      <c r="G172" s="297" t="s">
        <v>52</v>
      </c>
      <c r="H172" s="298">
        <v>38177.242099999996</v>
      </c>
      <c r="I172" s="299">
        <v>37717.9</v>
      </c>
      <c r="J172" s="298">
        <v>36391.152799999996</v>
      </c>
      <c r="K172" s="299">
        <v>34802.400000000001</v>
      </c>
      <c r="L172" s="298">
        <v>30190.176099999997</v>
      </c>
      <c r="M172" s="299">
        <v>21076.400000000001</v>
      </c>
      <c r="N172" s="298">
        <v>41410.070399999997</v>
      </c>
      <c r="O172" s="299">
        <v>42060</v>
      </c>
      <c r="P172" s="601">
        <f t="shared" si="51"/>
        <v>146168.64139999996</v>
      </c>
      <c r="Q172" s="602">
        <f t="shared" si="52"/>
        <v>4872.2880466666657</v>
      </c>
      <c r="R172" s="603">
        <f t="shared" si="53"/>
        <v>135656.70000000001</v>
      </c>
      <c r="S172" s="604">
        <f t="shared" si="54"/>
        <v>4521.8900000000003</v>
      </c>
      <c r="T172" s="298">
        <v>2961</v>
      </c>
      <c r="U172" s="299">
        <v>2322.1</v>
      </c>
      <c r="V172" s="601">
        <f t="shared" si="55"/>
        <v>146168.64139999996</v>
      </c>
      <c r="W172" s="605">
        <f t="shared" si="56"/>
        <v>135656.70000000001</v>
      </c>
      <c r="X172" s="305"/>
      <c r="Y172" s="299"/>
      <c r="Z172" s="298"/>
      <c r="AA172" s="299"/>
      <c r="AB172" s="298"/>
      <c r="AC172" s="299"/>
      <c r="AD172" s="298"/>
      <c r="AE172" s="299"/>
      <c r="AF172" s="601">
        <f t="shared" si="57"/>
        <v>0</v>
      </c>
      <c r="AG172" s="602">
        <f t="shared" si="58"/>
        <v>0</v>
      </c>
      <c r="AH172" s="603">
        <f t="shared" si="59"/>
        <v>0</v>
      </c>
      <c r="AI172" s="603">
        <f t="shared" si="60"/>
        <v>0</v>
      </c>
      <c r="AJ172" s="298"/>
      <c r="AK172" s="299"/>
      <c r="AL172" s="601">
        <f t="shared" si="61"/>
        <v>0</v>
      </c>
      <c r="AM172" s="604">
        <f t="shared" si="62"/>
        <v>0</v>
      </c>
      <c r="AN172" s="306"/>
      <c r="AO172" s="307"/>
      <c r="AP172" s="298"/>
      <c r="AQ172" s="307"/>
      <c r="AR172" s="298"/>
      <c r="AS172" s="307"/>
      <c r="AT172" s="298"/>
      <c r="AU172" s="307"/>
      <c r="AV172" s="601">
        <f t="shared" si="63"/>
        <v>0</v>
      </c>
      <c r="AW172" s="609">
        <f t="shared" si="64"/>
        <v>0</v>
      </c>
      <c r="AX172" s="603">
        <f t="shared" si="65"/>
        <v>0</v>
      </c>
      <c r="AY172" s="610">
        <f t="shared" si="66"/>
        <v>0</v>
      </c>
      <c r="AZ172" s="611">
        <f t="shared" si="67"/>
        <v>4872.2880466666657</v>
      </c>
      <c r="BA172" s="603">
        <f t="shared" si="68"/>
        <v>4521.8900000000003</v>
      </c>
    </row>
    <row r="173" spans="1:53">
      <c r="A173" s="386" t="s">
        <v>158</v>
      </c>
      <c r="B173" s="382" t="s">
        <v>380</v>
      </c>
      <c r="C173" s="383"/>
      <c r="D173" s="384">
        <v>141006</v>
      </c>
      <c r="E173" s="385">
        <v>12</v>
      </c>
      <c r="F173" s="296" t="s">
        <v>52</v>
      </c>
      <c r="G173" s="297" t="s">
        <v>52</v>
      </c>
      <c r="H173" s="298">
        <v>20985.715899999999</v>
      </c>
      <c r="I173" s="299">
        <v>20734.400000000001</v>
      </c>
      <c r="J173" s="298">
        <v>19985.6659</v>
      </c>
      <c r="K173" s="299">
        <v>19875.7</v>
      </c>
      <c r="L173" s="298">
        <v>18392.919599999997</v>
      </c>
      <c r="M173" s="299">
        <v>8747.1</v>
      </c>
      <c r="N173" s="298">
        <v>21639.748599999999</v>
      </c>
      <c r="O173" s="299">
        <v>23652</v>
      </c>
      <c r="P173" s="601">
        <f t="shared" si="51"/>
        <v>81004.049999999988</v>
      </c>
      <c r="Q173" s="602">
        <f t="shared" si="52"/>
        <v>2700.1349999999998</v>
      </c>
      <c r="R173" s="603">
        <f t="shared" si="53"/>
        <v>73009.200000000012</v>
      </c>
      <c r="S173" s="604">
        <f t="shared" si="54"/>
        <v>2433.6400000000003</v>
      </c>
      <c r="T173" s="298">
        <v>2302</v>
      </c>
      <c r="U173" s="299">
        <v>1468.4</v>
      </c>
      <c r="V173" s="601">
        <f t="shared" si="55"/>
        <v>81004.049999999988</v>
      </c>
      <c r="W173" s="605">
        <f t="shared" si="56"/>
        <v>73009.200000000012</v>
      </c>
      <c r="X173" s="305"/>
      <c r="Y173" s="299"/>
      <c r="Z173" s="298"/>
      <c r="AA173" s="299"/>
      <c r="AB173" s="298"/>
      <c r="AC173" s="299"/>
      <c r="AD173" s="298"/>
      <c r="AE173" s="299"/>
      <c r="AF173" s="601">
        <f t="shared" si="57"/>
        <v>0</v>
      </c>
      <c r="AG173" s="602">
        <f t="shared" si="58"/>
        <v>0</v>
      </c>
      <c r="AH173" s="603">
        <f t="shared" si="59"/>
        <v>0</v>
      </c>
      <c r="AI173" s="603">
        <f t="shared" si="60"/>
        <v>0</v>
      </c>
      <c r="AJ173" s="298"/>
      <c r="AK173" s="299"/>
      <c r="AL173" s="601">
        <f t="shared" si="61"/>
        <v>0</v>
      </c>
      <c r="AM173" s="604">
        <f t="shared" si="62"/>
        <v>0</v>
      </c>
      <c r="AN173" s="306"/>
      <c r="AO173" s="307"/>
      <c r="AP173" s="298"/>
      <c r="AQ173" s="307"/>
      <c r="AR173" s="298"/>
      <c r="AS173" s="307"/>
      <c r="AT173" s="298"/>
      <c r="AU173" s="307"/>
      <c r="AV173" s="601">
        <f t="shared" si="63"/>
        <v>0</v>
      </c>
      <c r="AW173" s="609">
        <f t="shared" si="64"/>
        <v>0</v>
      </c>
      <c r="AX173" s="603">
        <f t="shared" si="65"/>
        <v>0</v>
      </c>
      <c r="AY173" s="610">
        <f t="shared" si="66"/>
        <v>0</v>
      </c>
      <c r="AZ173" s="611">
        <f t="shared" si="67"/>
        <v>2700.1349999999998</v>
      </c>
      <c r="BA173" s="603">
        <f t="shared" si="68"/>
        <v>2433.6400000000003</v>
      </c>
    </row>
    <row r="174" spans="1:53">
      <c r="A174" s="386" t="s">
        <v>158</v>
      </c>
      <c r="B174" s="391" t="s">
        <v>381</v>
      </c>
      <c r="C174" s="383"/>
      <c r="D174" s="384">
        <v>368911</v>
      </c>
      <c r="E174" s="385">
        <v>12</v>
      </c>
      <c r="F174" s="296" t="s">
        <v>52</v>
      </c>
      <c r="G174" s="297" t="s">
        <v>52</v>
      </c>
      <c r="H174" s="298">
        <v>13370.6685</v>
      </c>
      <c r="I174" s="299">
        <v>12954</v>
      </c>
      <c r="J174" s="298">
        <v>12611.297199999999</v>
      </c>
      <c r="K174" s="299">
        <v>12408</v>
      </c>
      <c r="L174" s="298">
        <v>11233.228299999999</v>
      </c>
      <c r="M174" s="299">
        <v>4332.2</v>
      </c>
      <c r="N174" s="298">
        <v>14613.397299999999</v>
      </c>
      <c r="O174" s="299">
        <v>16303</v>
      </c>
      <c r="P174" s="601">
        <f t="shared" si="51"/>
        <v>51828.5913</v>
      </c>
      <c r="Q174" s="602">
        <f t="shared" si="52"/>
        <v>1727.6197099999999</v>
      </c>
      <c r="R174" s="603">
        <f t="shared" si="53"/>
        <v>45997.2</v>
      </c>
      <c r="S174" s="604">
        <f t="shared" si="54"/>
        <v>1533.24</v>
      </c>
      <c r="T174" s="298">
        <v>3495</v>
      </c>
      <c r="U174" s="299">
        <v>2133.6999999999998</v>
      </c>
      <c r="V174" s="601">
        <f t="shared" si="55"/>
        <v>51828.5913</v>
      </c>
      <c r="W174" s="605">
        <f t="shared" si="56"/>
        <v>45997.2</v>
      </c>
      <c r="X174" s="305"/>
      <c r="Y174" s="299"/>
      <c r="Z174" s="298"/>
      <c r="AA174" s="299"/>
      <c r="AB174" s="298"/>
      <c r="AC174" s="299"/>
      <c r="AD174" s="298"/>
      <c r="AE174" s="299"/>
      <c r="AF174" s="601">
        <f t="shared" si="57"/>
        <v>0</v>
      </c>
      <c r="AG174" s="602">
        <f t="shared" si="58"/>
        <v>0</v>
      </c>
      <c r="AH174" s="603">
        <f t="shared" si="59"/>
        <v>0</v>
      </c>
      <c r="AI174" s="603">
        <f t="shared" si="60"/>
        <v>0</v>
      </c>
      <c r="AJ174" s="298"/>
      <c r="AK174" s="299"/>
      <c r="AL174" s="601">
        <f t="shared" si="61"/>
        <v>0</v>
      </c>
      <c r="AM174" s="604">
        <f t="shared" si="62"/>
        <v>0</v>
      </c>
      <c r="AN174" s="306"/>
      <c r="AO174" s="307"/>
      <c r="AP174" s="298"/>
      <c r="AQ174" s="307"/>
      <c r="AR174" s="298"/>
      <c r="AS174" s="307"/>
      <c r="AT174" s="298"/>
      <c r="AU174" s="307"/>
      <c r="AV174" s="601">
        <f t="shared" si="63"/>
        <v>0</v>
      </c>
      <c r="AW174" s="609">
        <f t="shared" si="64"/>
        <v>0</v>
      </c>
      <c r="AX174" s="603">
        <f t="shared" si="65"/>
        <v>0</v>
      </c>
      <c r="AY174" s="610">
        <f t="shared" si="66"/>
        <v>0</v>
      </c>
      <c r="AZ174" s="611">
        <f t="shared" si="67"/>
        <v>1727.6197099999999</v>
      </c>
      <c r="BA174" s="603">
        <f t="shared" si="68"/>
        <v>1533.24</v>
      </c>
    </row>
    <row r="175" spans="1:53">
      <c r="A175" s="386" t="s">
        <v>158</v>
      </c>
      <c r="B175" s="387" t="s">
        <v>382</v>
      </c>
      <c r="C175" s="383"/>
      <c r="D175" s="384">
        <v>139986</v>
      </c>
      <c r="E175" s="389">
        <v>12</v>
      </c>
      <c r="F175" s="296" t="s">
        <v>52</v>
      </c>
      <c r="G175" s="297" t="s">
        <v>52</v>
      </c>
      <c r="H175" s="298">
        <v>45760.487909999996</v>
      </c>
      <c r="I175" s="299">
        <v>41650.300000000003</v>
      </c>
      <c r="J175" s="298">
        <v>42853.742579999998</v>
      </c>
      <c r="K175" s="299">
        <v>38802.800000000003</v>
      </c>
      <c r="L175" s="298">
        <v>35607.446949999998</v>
      </c>
      <c r="M175" s="299">
        <v>15218.8</v>
      </c>
      <c r="N175" s="298">
        <v>46607.996950000001</v>
      </c>
      <c r="O175" s="299">
        <v>48389</v>
      </c>
      <c r="P175" s="601">
        <f t="shared" si="51"/>
        <v>170829.67439</v>
      </c>
      <c r="Q175" s="602">
        <f t="shared" si="52"/>
        <v>5694.3224796666664</v>
      </c>
      <c r="R175" s="603">
        <f t="shared" si="53"/>
        <v>144060.90000000002</v>
      </c>
      <c r="S175" s="604">
        <f t="shared" si="54"/>
        <v>4802.0300000000007</v>
      </c>
      <c r="T175" s="298"/>
      <c r="U175" s="299">
        <v>1473.7</v>
      </c>
      <c r="V175" s="601">
        <f t="shared" si="55"/>
        <v>0</v>
      </c>
      <c r="W175" s="605">
        <f t="shared" si="56"/>
        <v>144060.90000000002</v>
      </c>
      <c r="X175" s="305"/>
      <c r="Y175" s="299"/>
      <c r="Z175" s="298"/>
      <c r="AA175" s="299"/>
      <c r="AB175" s="298"/>
      <c r="AC175" s="299"/>
      <c r="AD175" s="298"/>
      <c r="AE175" s="299"/>
      <c r="AF175" s="601">
        <f t="shared" si="57"/>
        <v>0</v>
      </c>
      <c r="AG175" s="602">
        <f t="shared" si="58"/>
        <v>0</v>
      </c>
      <c r="AH175" s="603">
        <f t="shared" si="59"/>
        <v>0</v>
      </c>
      <c r="AI175" s="603">
        <f t="shared" si="60"/>
        <v>0</v>
      </c>
      <c r="AJ175" s="298"/>
      <c r="AK175" s="299"/>
      <c r="AL175" s="601">
        <f t="shared" si="61"/>
        <v>0</v>
      </c>
      <c r="AM175" s="604">
        <f t="shared" si="62"/>
        <v>0</v>
      </c>
      <c r="AN175" s="306"/>
      <c r="AO175" s="307"/>
      <c r="AP175" s="298"/>
      <c r="AQ175" s="307"/>
      <c r="AR175" s="298"/>
      <c r="AS175" s="307"/>
      <c r="AT175" s="298"/>
      <c r="AU175" s="307"/>
      <c r="AV175" s="601">
        <f t="shared" si="63"/>
        <v>0</v>
      </c>
      <c r="AW175" s="609">
        <f t="shared" si="64"/>
        <v>0</v>
      </c>
      <c r="AX175" s="603">
        <f t="shared" si="65"/>
        <v>0</v>
      </c>
      <c r="AY175" s="610">
        <f t="shared" si="66"/>
        <v>0</v>
      </c>
      <c r="AZ175" s="611">
        <f t="shared" si="67"/>
        <v>5694.3224796666664</v>
      </c>
      <c r="BA175" s="603">
        <f t="shared" si="68"/>
        <v>4802.0300000000007</v>
      </c>
    </row>
    <row r="176" spans="1:53">
      <c r="A176" s="386" t="s">
        <v>158</v>
      </c>
      <c r="B176" s="391" t="s">
        <v>383</v>
      </c>
      <c r="C176" s="383"/>
      <c r="D176" s="384">
        <v>141158</v>
      </c>
      <c r="E176" s="385">
        <v>12</v>
      </c>
      <c r="F176" s="296" t="s">
        <v>52</v>
      </c>
      <c r="G176" s="297" t="s">
        <v>52</v>
      </c>
      <c r="H176" s="298">
        <v>11052.21925</v>
      </c>
      <c r="I176" s="299">
        <v>11118.6</v>
      </c>
      <c r="J176" s="298">
        <v>10481.190699999999</v>
      </c>
      <c r="K176" s="299">
        <v>9766.5</v>
      </c>
      <c r="L176" s="298">
        <v>8995.7830999999987</v>
      </c>
      <c r="M176" s="299">
        <v>4271.2</v>
      </c>
      <c r="N176" s="298">
        <v>11521.909399999999</v>
      </c>
      <c r="O176" s="299">
        <v>14739</v>
      </c>
      <c r="P176" s="601">
        <f t="shared" si="51"/>
        <v>42051.102449999998</v>
      </c>
      <c r="Q176" s="602">
        <f t="shared" si="52"/>
        <v>1401.7034149999999</v>
      </c>
      <c r="R176" s="603">
        <f t="shared" si="53"/>
        <v>39895.300000000003</v>
      </c>
      <c r="S176" s="604">
        <f t="shared" si="54"/>
        <v>1329.8433333333335</v>
      </c>
      <c r="T176" s="298">
        <v>3092.5</v>
      </c>
      <c r="U176" s="299">
        <v>2535.6999999999998</v>
      </c>
      <c r="V176" s="601">
        <f t="shared" si="55"/>
        <v>42051.102449999998</v>
      </c>
      <c r="W176" s="605">
        <f t="shared" si="56"/>
        <v>39895.300000000003</v>
      </c>
      <c r="X176" s="305"/>
      <c r="Y176" s="299"/>
      <c r="Z176" s="298"/>
      <c r="AA176" s="299"/>
      <c r="AB176" s="298"/>
      <c r="AC176" s="299"/>
      <c r="AD176" s="298"/>
      <c r="AE176" s="299"/>
      <c r="AF176" s="601">
        <f t="shared" si="57"/>
        <v>0</v>
      </c>
      <c r="AG176" s="602">
        <f t="shared" si="58"/>
        <v>0</v>
      </c>
      <c r="AH176" s="603">
        <f t="shared" si="59"/>
        <v>0</v>
      </c>
      <c r="AI176" s="603">
        <f t="shared" si="60"/>
        <v>0</v>
      </c>
      <c r="AJ176" s="298"/>
      <c r="AK176" s="299"/>
      <c r="AL176" s="601">
        <f t="shared" si="61"/>
        <v>0</v>
      </c>
      <c r="AM176" s="604">
        <f t="shared" si="62"/>
        <v>0</v>
      </c>
      <c r="AN176" s="306"/>
      <c r="AO176" s="307"/>
      <c r="AP176" s="298"/>
      <c r="AQ176" s="307"/>
      <c r="AR176" s="298"/>
      <c r="AS176" s="307"/>
      <c r="AT176" s="298"/>
      <c r="AU176" s="307"/>
      <c r="AV176" s="601">
        <f t="shared" si="63"/>
        <v>0</v>
      </c>
      <c r="AW176" s="609">
        <f t="shared" si="64"/>
        <v>0</v>
      </c>
      <c r="AX176" s="603">
        <f t="shared" si="65"/>
        <v>0</v>
      </c>
      <c r="AY176" s="610">
        <f t="shared" si="66"/>
        <v>0</v>
      </c>
      <c r="AZ176" s="611">
        <f t="shared" si="67"/>
        <v>1401.7034149999999</v>
      </c>
      <c r="BA176" s="603">
        <f t="shared" si="68"/>
        <v>1329.8433333333335</v>
      </c>
    </row>
    <row r="177" spans="1:53">
      <c r="A177" s="390" t="s">
        <v>158</v>
      </c>
      <c r="B177" s="391" t="s">
        <v>384</v>
      </c>
      <c r="C177" s="383"/>
      <c r="D177" s="384">
        <v>139278</v>
      </c>
      <c r="E177" s="385">
        <v>12</v>
      </c>
      <c r="F177" s="296" t="s">
        <v>52</v>
      </c>
      <c r="G177" s="297" t="s">
        <v>52</v>
      </c>
      <c r="H177" s="298">
        <v>49156.457699999999</v>
      </c>
      <c r="I177" s="299">
        <v>51884.6</v>
      </c>
      <c r="J177" s="298">
        <v>45675.616999999998</v>
      </c>
      <c r="K177" s="299">
        <v>48082.400000000001</v>
      </c>
      <c r="L177" s="298">
        <v>34583.729099999997</v>
      </c>
      <c r="M177" s="299">
        <v>19157</v>
      </c>
      <c r="N177" s="298">
        <v>55429.437999999995</v>
      </c>
      <c r="O177" s="299">
        <v>62486</v>
      </c>
      <c r="P177" s="601">
        <f t="shared" si="51"/>
        <v>184845.24179999999</v>
      </c>
      <c r="Q177" s="602">
        <f t="shared" si="52"/>
        <v>6161.5080599999992</v>
      </c>
      <c r="R177" s="603">
        <f t="shared" si="53"/>
        <v>181610</v>
      </c>
      <c r="S177" s="604">
        <f t="shared" si="54"/>
        <v>6053.666666666667</v>
      </c>
      <c r="T177" s="298">
        <v>11431</v>
      </c>
      <c r="U177" s="299">
        <v>6574.8</v>
      </c>
      <c r="V177" s="601">
        <f t="shared" si="55"/>
        <v>184845.24179999999</v>
      </c>
      <c r="W177" s="605">
        <f t="shared" si="56"/>
        <v>181610</v>
      </c>
      <c r="X177" s="305"/>
      <c r="Y177" s="299"/>
      <c r="Z177" s="298"/>
      <c r="AA177" s="299"/>
      <c r="AB177" s="298"/>
      <c r="AC177" s="299"/>
      <c r="AD177" s="298"/>
      <c r="AE177" s="299"/>
      <c r="AF177" s="601">
        <f t="shared" si="57"/>
        <v>0</v>
      </c>
      <c r="AG177" s="602">
        <f t="shared" si="58"/>
        <v>0</v>
      </c>
      <c r="AH177" s="603">
        <f t="shared" si="59"/>
        <v>0</v>
      </c>
      <c r="AI177" s="603">
        <f t="shared" si="60"/>
        <v>0</v>
      </c>
      <c r="AJ177" s="298"/>
      <c r="AK177" s="299"/>
      <c r="AL177" s="601">
        <f t="shared" si="61"/>
        <v>0</v>
      </c>
      <c r="AM177" s="604">
        <f t="shared" si="62"/>
        <v>0</v>
      </c>
      <c r="AN177" s="306"/>
      <c r="AO177" s="307"/>
      <c r="AP177" s="298"/>
      <c r="AQ177" s="307"/>
      <c r="AR177" s="298"/>
      <c r="AS177" s="307"/>
      <c r="AT177" s="298"/>
      <c r="AU177" s="307"/>
      <c r="AV177" s="601">
        <f t="shared" si="63"/>
        <v>0</v>
      </c>
      <c r="AW177" s="609">
        <f t="shared" si="64"/>
        <v>0</v>
      </c>
      <c r="AX177" s="603">
        <f t="shared" si="65"/>
        <v>0</v>
      </c>
      <c r="AY177" s="610">
        <f t="shared" si="66"/>
        <v>0</v>
      </c>
      <c r="AZ177" s="611">
        <f t="shared" si="67"/>
        <v>6161.5080599999992</v>
      </c>
      <c r="BA177" s="603">
        <f t="shared" si="68"/>
        <v>6053.666666666667</v>
      </c>
    </row>
    <row r="178" spans="1:53">
      <c r="A178" s="386" t="s">
        <v>158</v>
      </c>
      <c r="B178" s="387" t="s">
        <v>385</v>
      </c>
      <c r="C178" s="383"/>
      <c r="D178" s="384">
        <v>141255</v>
      </c>
      <c r="E178" s="389">
        <v>12</v>
      </c>
      <c r="F178" s="296" t="s">
        <v>52</v>
      </c>
      <c r="G178" s="297" t="s">
        <v>52</v>
      </c>
      <c r="H178" s="298">
        <v>39643.982100000001</v>
      </c>
      <c r="I178" s="299">
        <v>39835.300000000003</v>
      </c>
      <c r="J178" s="298">
        <v>36861.843000000001</v>
      </c>
      <c r="K178" s="299">
        <v>37235.199999999997</v>
      </c>
      <c r="L178" s="298">
        <v>32686.300899999998</v>
      </c>
      <c r="M178" s="299">
        <v>16354.2</v>
      </c>
      <c r="N178" s="298">
        <v>40730.703099999999</v>
      </c>
      <c r="O178" s="299">
        <v>44327</v>
      </c>
      <c r="P178" s="601">
        <f t="shared" si="51"/>
        <v>149922.8291</v>
      </c>
      <c r="Q178" s="602">
        <f t="shared" si="52"/>
        <v>4997.4276366666663</v>
      </c>
      <c r="R178" s="603">
        <f t="shared" si="53"/>
        <v>137751.70000000001</v>
      </c>
      <c r="S178" s="604">
        <f t="shared" si="54"/>
        <v>4591.7233333333334</v>
      </c>
      <c r="T178" s="298"/>
      <c r="U178" s="299">
        <v>2909.8</v>
      </c>
      <c r="V178" s="601">
        <f t="shared" si="55"/>
        <v>0</v>
      </c>
      <c r="W178" s="605">
        <f t="shared" si="56"/>
        <v>137751.70000000001</v>
      </c>
      <c r="X178" s="305"/>
      <c r="Y178" s="299"/>
      <c r="Z178" s="298"/>
      <c r="AA178" s="299"/>
      <c r="AB178" s="298"/>
      <c r="AC178" s="299"/>
      <c r="AD178" s="298"/>
      <c r="AE178" s="299"/>
      <c r="AF178" s="601">
        <f t="shared" si="57"/>
        <v>0</v>
      </c>
      <c r="AG178" s="602">
        <f t="shared" si="58"/>
        <v>0</v>
      </c>
      <c r="AH178" s="603">
        <f t="shared" si="59"/>
        <v>0</v>
      </c>
      <c r="AI178" s="603">
        <f t="shared" si="60"/>
        <v>0</v>
      </c>
      <c r="AJ178" s="298"/>
      <c r="AK178" s="299"/>
      <c r="AL178" s="601">
        <f t="shared" si="61"/>
        <v>0</v>
      </c>
      <c r="AM178" s="604">
        <f t="shared" si="62"/>
        <v>0</v>
      </c>
      <c r="AN178" s="306"/>
      <c r="AO178" s="307"/>
      <c r="AP178" s="298"/>
      <c r="AQ178" s="307"/>
      <c r="AR178" s="298"/>
      <c r="AS178" s="307"/>
      <c r="AT178" s="298"/>
      <c r="AU178" s="307"/>
      <c r="AV178" s="601">
        <f t="shared" si="63"/>
        <v>0</v>
      </c>
      <c r="AW178" s="609">
        <f t="shared" si="64"/>
        <v>0</v>
      </c>
      <c r="AX178" s="603">
        <f t="shared" si="65"/>
        <v>0</v>
      </c>
      <c r="AY178" s="610">
        <f t="shared" si="66"/>
        <v>0</v>
      </c>
      <c r="AZ178" s="611">
        <f t="shared" si="67"/>
        <v>4997.4276366666663</v>
      </c>
      <c r="BA178" s="603">
        <f t="shared" si="68"/>
        <v>4591.7233333333334</v>
      </c>
    </row>
    <row r="179" spans="1:53">
      <c r="A179" s="394" t="s">
        <v>158</v>
      </c>
      <c r="B179" s="395" t="s">
        <v>386</v>
      </c>
      <c r="C179" s="393" t="s">
        <v>387</v>
      </c>
      <c r="D179" s="396">
        <v>420431</v>
      </c>
      <c r="E179" s="389">
        <v>12</v>
      </c>
      <c r="F179" s="296" t="s">
        <v>52</v>
      </c>
      <c r="G179" s="297" t="s">
        <v>52</v>
      </c>
      <c r="H179" s="298">
        <v>17998.8999</v>
      </c>
      <c r="I179" s="299">
        <v>18479.5</v>
      </c>
      <c r="J179" s="298">
        <v>17064.1865</v>
      </c>
      <c r="K179" s="299">
        <v>16510.800000000003</v>
      </c>
      <c r="L179" s="298">
        <v>16176.142099999999</v>
      </c>
      <c r="M179" s="299">
        <v>8010</v>
      </c>
      <c r="N179" s="298">
        <v>19020.284299999999</v>
      </c>
      <c r="O179" s="299">
        <v>16677</v>
      </c>
      <c r="P179" s="601">
        <f t="shared" si="51"/>
        <v>70259.512799999997</v>
      </c>
      <c r="Q179" s="602">
        <f t="shared" si="52"/>
        <v>2341.9837600000001</v>
      </c>
      <c r="R179" s="603">
        <f t="shared" si="53"/>
        <v>59677.3</v>
      </c>
      <c r="S179" s="604">
        <f t="shared" si="54"/>
        <v>1989.2433333333333</v>
      </c>
      <c r="T179" s="298">
        <v>8551</v>
      </c>
      <c r="U179" s="299">
        <v>2730.8</v>
      </c>
      <c r="V179" s="601">
        <f t="shared" si="55"/>
        <v>70259.512799999997</v>
      </c>
      <c r="W179" s="605">
        <f t="shared" si="56"/>
        <v>59677.3</v>
      </c>
      <c r="X179" s="305"/>
      <c r="Y179" s="299"/>
      <c r="Z179" s="298"/>
      <c r="AA179" s="299"/>
      <c r="AB179" s="298"/>
      <c r="AC179" s="299"/>
      <c r="AD179" s="298"/>
      <c r="AE179" s="299"/>
      <c r="AF179" s="601">
        <f t="shared" si="57"/>
        <v>0</v>
      </c>
      <c r="AG179" s="602">
        <f t="shared" si="58"/>
        <v>0</v>
      </c>
      <c r="AH179" s="603">
        <f t="shared" si="59"/>
        <v>0</v>
      </c>
      <c r="AI179" s="603">
        <f t="shared" si="60"/>
        <v>0</v>
      </c>
      <c r="AJ179" s="298"/>
      <c r="AK179" s="299"/>
      <c r="AL179" s="601">
        <f t="shared" si="61"/>
        <v>0</v>
      </c>
      <c r="AM179" s="604">
        <f t="shared" si="62"/>
        <v>0</v>
      </c>
      <c r="AN179" s="306"/>
      <c r="AO179" s="307"/>
      <c r="AP179" s="298"/>
      <c r="AQ179" s="307"/>
      <c r="AR179" s="298"/>
      <c r="AS179" s="307"/>
      <c r="AT179" s="298"/>
      <c r="AU179" s="307"/>
      <c r="AV179" s="601">
        <f t="shared" si="63"/>
        <v>0</v>
      </c>
      <c r="AW179" s="609">
        <f t="shared" si="64"/>
        <v>0</v>
      </c>
      <c r="AX179" s="603">
        <f t="shared" si="65"/>
        <v>0</v>
      </c>
      <c r="AY179" s="610">
        <f t="shared" si="66"/>
        <v>0</v>
      </c>
      <c r="AZ179" s="611">
        <f t="shared" si="67"/>
        <v>2341.9837600000001</v>
      </c>
      <c r="BA179" s="603">
        <f t="shared" si="68"/>
        <v>1989.2433333333333</v>
      </c>
    </row>
    <row r="180" spans="1:53">
      <c r="A180" s="312" t="s">
        <v>29</v>
      </c>
      <c r="B180" s="311" t="s">
        <v>388</v>
      </c>
      <c r="C180" s="397"/>
      <c r="D180" s="312">
        <v>157085</v>
      </c>
      <c r="E180" s="312">
        <v>1</v>
      </c>
      <c r="F180" s="296" t="s">
        <v>52</v>
      </c>
      <c r="G180" s="297" t="s">
        <v>52</v>
      </c>
      <c r="H180" s="298"/>
      <c r="I180" s="299"/>
      <c r="J180" s="298">
        <v>242842</v>
      </c>
      <c r="K180" s="299">
        <v>250747</v>
      </c>
      <c r="L180" s="298">
        <v>25898</v>
      </c>
      <c r="M180" s="299">
        <v>28605</v>
      </c>
      <c r="N180" s="298">
        <v>271185</v>
      </c>
      <c r="O180" s="299">
        <v>276434</v>
      </c>
      <c r="P180" s="601">
        <f t="shared" si="51"/>
        <v>539925</v>
      </c>
      <c r="Q180" s="602">
        <f t="shared" si="52"/>
        <v>17997.5</v>
      </c>
      <c r="R180" s="603">
        <f t="shared" si="53"/>
        <v>555786</v>
      </c>
      <c r="S180" s="604">
        <f t="shared" si="54"/>
        <v>18526.2</v>
      </c>
      <c r="T180" s="298">
        <v>24</v>
      </c>
      <c r="U180" s="299">
        <v>47</v>
      </c>
      <c r="V180" s="601">
        <f t="shared" si="55"/>
        <v>539925</v>
      </c>
      <c r="W180" s="605">
        <f t="shared" si="56"/>
        <v>555786</v>
      </c>
      <c r="X180" s="305"/>
      <c r="Y180" s="299"/>
      <c r="Z180" s="298"/>
      <c r="AA180" s="299"/>
      <c r="AB180" s="298"/>
      <c r="AC180" s="299"/>
      <c r="AD180" s="298"/>
      <c r="AE180" s="299"/>
      <c r="AF180" s="601">
        <f t="shared" si="57"/>
        <v>0</v>
      </c>
      <c r="AG180" s="602">
        <f t="shared" si="58"/>
        <v>0</v>
      </c>
      <c r="AH180" s="603">
        <f t="shared" si="59"/>
        <v>0</v>
      </c>
      <c r="AI180" s="603">
        <f t="shared" si="60"/>
        <v>0</v>
      </c>
      <c r="AJ180" s="298"/>
      <c r="AK180" s="299"/>
      <c r="AL180" s="601">
        <f t="shared" si="61"/>
        <v>0</v>
      </c>
      <c r="AM180" s="604">
        <f t="shared" si="62"/>
        <v>0</v>
      </c>
      <c r="AN180" s="306"/>
      <c r="AO180" s="307"/>
      <c r="AP180" s="298">
        <v>37277</v>
      </c>
      <c r="AQ180" s="307">
        <v>37914</v>
      </c>
      <c r="AR180" s="298">
        <v>5748</v>
      </c>
      <c r="AS180" s="307">
        <v>5855</v>
      </c>
      <c r="AT180" s="298">
        <v>41012</v>
      </c>
      <c r="AU180" s="307">
        <v>40854</v>
      </c>
      <c r="AV180" s="601">
        <f t="shared" si="63"/>
        <v>84037</v>
      </c>
      <c r="AW180" s="609">
        <f t="shared" si="64"/>
        <v>3501.5416666666665</v>
      </c>
      <c r="AX180" s="603">
        <f t="shared" si="65"/>
        <v>84623</v>
      </c>
      <c r="AY180" s="610">
        <f t="shared" si="66"/>
        <v>3525.9583333333335</v>
      </c>
      <c r="AZ180" s="611">
        <f t="shared" si="67"/>
        <v>21499.041666666668</v>
      </c>
      <c r="BA180" s="603">
        <f t="shared" si="68"/>
        <v>22052.158333333333</v>
      </c>
    </row>
    <row r="181" spans="1:53">
      <c r="A181" s="312" t="s">
        <v>29</v>
      </c>
      <c r="B181" s="311" t="s">
        <v>389</v>
      </c>
      <c r="C181" s="397"/>
      <c r="D181" s="312">
        <v>157289</v>
      </c>
      <c r="E181" s="312">
        <v>1</v>
      </c>
      <c r="F181" s="296" t="s">
        <v>52</v>
      </c>
      <c r="G181" s="297" t="s">
        <v>52</v>
      </c>
      <c r="H181" s="298"/>
      <c r="I181" s="299"/>
      <c r="J181" s="298">
        <v>171347.5</v>
      </c>
      <c r="K181" s="299">
        <v>173103</v>
      </c>
      <c r="L181" s="298">
        <v>35566</v>
      </c>
      <c r="M181" s="299">
        <v>35687</v>
      </c>
      <c r="N181" s="298">
        <v>186984</v>
      </c>
      <c r="O181" s="299">
        <v>188398</v>
      </c>
      <c r="P181" s="601">
        <f t="shared" si="51"/>
        <v>393897.5</v>
      </c>
      <c r="Q181" s="602">
        <f t="shared" si="52"/>
        <v>13129.916666666666</v>
      </c>
      <c r="R181" s="603">
        <f t="shared" si="53"/>
        <v>397188</v>
      </c>
      <c r="S181" s="604">
        <f t="shared" si="54"/>
        <v>13239.6</v>
      </c>
      <c r="T181" s="298">
        <v>1067</v>
      </c>
      <c r="U181" s="299">
        <v>1282</v>
      </c>
      <c r="V181" s="601">
        <f t="shared" si="55"/>
        <v>393897.5</v>
      </c>
      <c r="W181" s="605">
        <f t="shared" si="56"/>
        <v>397188</v>
      </c>
      <c r="X181" s="305"/>
      <c r="Y181" s="299"/>
      <c r="Z181" s="298"/>
      <c r="AA181" s="299"/>
      <c r="AB181" s="298"/>
      <c r="AC181" s="299"/>
      <c r="AD181" s="298"/>
      <c r="AE181" s="299"/>
      <c r="AF181" s="601">
        <f t="shared" si="57"/>
        <v>0</v>
      </c>
      <c r="AG181" s="602">
        <f t="shared" si="58"/>
        <v>0</v>
      </c>
      <c r="AH181" s="603">
        <f t="shared" si="59"/>
        <v>0</v>
      </c>
      <c r="AI181" s="603">
        <f t="shared" si="60"/>
        <v>0</v>
      </c>
      <c r="AJ181" s="298"/>
      <c r="AK181" s="299"/>
      <c r="AL181" s="601">
        <f t="shared" si="61"/>
        <v>0</v>
      </c>
      <c r="AM181" s="604">
        <f t="shared" si="62"/>
        <v>0</v>
      </c>
      <c r="AN181" s="306"/>
      <c r="AO181" s="307"/>
      <c r="AP181" s="298">
        <v>33639</v>
      </c>
      <c r="AQ181" s="307">
        <v>33803</v>
      </c>
      <c r="AR181" s="298">
        <v>11896</v>
      </c>
      <c r="AS181" s="307">
        <v>11944</v>
      </c>
      <c r="AT181" s="298">
        <v>34870</v>
      </c>
      <c r="AU181" s="307">
        <v>33454</v>
      </c>
      <c r="AV181" s="601">
        <f t="shared" si="63"/>
        <v>80405</v>
      </c>
      <c r="AW181" s="609">
        <f t="shared" si="64"/>
        <v>3350.2083333333335</v>
      </c>
      <c r="AX181" s="603">
        <f t="shared" si="65"/>
        <v>79201</v>
      </c>
      <c r="AY181" s="610">
        <f t="shared" si="66"/>
        <v>3300.0416666666665</v>
      </c>
      <c r="AZ181" s="611">
        <f t="shared" si="67"/>
        <v>16480.125</v>
      </c>
      <c r="BA181" s="603">
        <f t="shared" si="68"/>
        <v>16539.641666666666</v>
      </c>
    </row>
    <row r="182" spans="1:53">
      <c r="A182" s="312" t="s">
        <v>29</v>
      </c>
      <c r="B182" s="311" t="s">
        <v>390</v>
      </c>
      <c r="C182" s="397"/>
      <c r="D182" s="312">
        <v>156620</v>
      </c>
      <c r="E182" s="312">
        <v>3</v>
      </c>
      <c r="F182" s="296" t="s">
        <v>52</v>
      </c>
      <c r="G182" s="297" t="s">
        <v>52</v>
      </c>
      <c r="H182" s="298"/>
      <c r="I182" s="299"/>
      <c r="J182" s="298">
        <v>170928.5</v>
      </c>
      <c r="K182" s="299">
        <v>167687</v>
      </c>
      <c r="L182" s="298">
        <v>24466</v>
      </c>
      <c r="M182" s="299">
        <v>22324</v>
      </c>
      <c r="N182" s="298">
        <v>185843</v>
      </c>
      <c r="O182" s="299">
        <v>176487</v>
      </c>
      <c r="P182" s="601">
        <f t="shared" si="51"/>
        <v>381237.5</v>
      </c>
      <c r="Q182" s="602">
        <f t="shared" si="52"/>
        <v>12707.916666666666</v>
      </c>
      <c r="R182" s="603">
        <f t="shared" si="53"/>
        <v>366498</v>
      </c>
      <c r="S182" s="604">
        <f t="shared" si="54"/>
        <v>12216.6</v>
      </c>
      <c r="T182" s="298">
        <v>2741</v>
      </c>
      <c r="U182" s="299">
        <v>2863</v>
      </c>
      <c r="V182" s="601">
        <f t="shared" si="55"/>
        <v>381237.5</v>
      </c>
      <c r="W182" s="605">
        <f t="shared" si="56"/>
        <v>366498</v>
      </c>
      <c r="X182" s="305"/>
      <c r="Y182" s="299"/>
      <c r="Z182" s="298"/>
      <c r="AA182" s="299"/>
      <c r="AB182" s="298"/>
      <c r="AC182" s="299"/>
      <c r="AD182" s="298"/>
      <c r="AE182" s="299"/>
      <c r="AF182" s="601">
        <f t="shared" si="57"/>
        <v>0</v>
      </c>
      <c r="AG182" s="602">
        <f t="shared" si="58"/>
        <v>0</v>
      </c>
      <c r="AH182" s="603">
        <f t="shared" si="59"/>
        <v>0</v>
      </c>
      <c r="AI182" s="603">
        <f t="shared" si="60"/>
        <v>0</v>
      </c>
      <c r="AJ182" s="298"/>
      <c r="AK182" s="299"/>
      <c r="AL182" s="601">
        <f t="shared" si="61"/>
        <v>0</v>
      </c>
      <c r="AM182" s="604">
        <f t="shared" si="62"/>
        <v>0</v>
      </c>
      <c r="AN182" s="306"/>
      <c r="AO182" s="307"/>
      <c r="AP182" s="298">
        <v>14603</v>
      </c>
      <c r="AQ182" s="307">
        <v>1499</v>
      </c>
      <c r="AR182" s="298">
        <v>8696</v>
      </c>
      <c r="AS182" s="307">
        <v>9028</v>
      </c>
      <c r="AT182" s="298">
        <v>14192</v>
      </c>
      <c r="AU182" s="307">
        <v>14123</v>
      </c>
      <c r="AV182" s="601">
        <f t="shared" si="63"/>
        <v>37491</v>
      </c>
      <c r="AW182" s="609">
        <f t="shared" si="64"/>
        <v>1562.125</v>
      </c>
      <c r="AX182" s="603">
        <f t="shared" si="65"/>
        <v>24650</v>
      </c>
      <c r="AY182" s="610">
        <f t="shared" si="66"/>
        <v>1027.0833333333333</v>
      </c>
      <c r="AZ182" s="611">
        <f t="shared" si="67"/>
        <v>14270.041666666666</v>
      </c>
      <c r="BA182" s="603">
        <f t="shared" si="68"/>
        <v>13243.683333333334</v>
      </c>
    </row>
    <row r="183" spans="1:53">
      <c r="A183" s="312" t="s">
        <v>29</v>
      </c>
      <c r="B183" s="398" t="s">
        <v>391</v>
      </c>
      <c r="C183" s="397"/>
      <c r="D183" s="312">
        <v>157386</v>
      </c>
      <c r="E183" s="349">
        <v>3</v>
      </c>
      <c r="F183" s="296" t="s">
        <v>52</v>
      </c>
      <c r="G183" s="297" t="s">
        <v>52</v>
      </c>
      <c r="H183" s="298"/>
      <c r="I183" s="299"/>
      <c r="J183" s="298">
        <v>82360</v>
      </c>
      <c r="K183" s="299">
        <v>81756</v>
      </c>
      <c r="L183" s="298">
        <v>11026</v>
      </c>
      <c r="M183" s="299">
        <v>9599</v>
      </c>
      <c r="N183" s="298">
        <v>88964</v>
      </c>
      <c r="O183" s="299">
        <v>97095</v>
      </c>
      <c r="P183" s="601">
        <f t="shared" si="51"/>
        <v>182350</v>
      </c>
      <c r="Q183" s="602">
        <f t="shared" si="52"/>
        <v>6078.333333333333</v>
      </c>
      <c r="R183" s="603">
        <f t="shared" si="53"/>
        <v>188450</v>
      </c>
      <c r="S183" s="604">
        <f t="shared" si="54"/>
        <v>6281.666666666667</v>
      </c>
      <c r="T183" s="298">
        <v>2965</v>
      </c>
      <c r="U183" s="299">
        <v>9086</v>
      </c>
      <c r="V183" s="601">
        <f t="shared" si="55"/>
        <v>182350</v>
      </c>
      <c r="W183" s="605">
        <f t="shared" si="56"/>
        <v>188450</v>
      </c>
      <c r="X183" s="305"/>
      <c r="Y183" s="299"/>
      <c r="Z183" s="298"/>
      <c r="AA183" s="299"/>
      <c r="AB183" s="298"/>
      <c r="AC183" s="299"/>
      <c r="AD183" s="298"/>
      <c r="AE183" s="299"/>
      <c r="AF183" s="601">
        <f t="shared" si="57"/>
        <v>0</v>
      </c>
      <c r="AG183" s="602">
        <f t="shared" si="58"/>
        <v>0</v>
      </c>
      <c r="AH183" s="603">
        <f t="shared" si="59"/>
        <v>0</v>
      </c>
      <c r="AI183" s="603">
        <f t="shared" si="60"/>
        <v>0</v>
      </c>
      <c r="AJ183" s="298"/>
      <c r="AK183" s="299"/>
      <c r="AL183" s="601">
        <f t="shared" si="61"/>
        <v>0</v>
      </c>
      <c r="AM183" s="604">
        <f t="shared" si="62"/>
        <v>0</v>
      </c>
      <c r="AN183" s="306"/>
      <c r="AO183" s="307"/>
      <c r="AP183" s="298">
        <v>8564</v>
      </c>
      <c r="AQ183" s="307">
        <v>8377</v>
      </c>
      <c r="AR183" s="298">
        <v>5894</v>
      </c>
      <c r="AS183" s="307">
        <v>5040</v>
      </c>
      <c r="AT183" s="298">
        <v>8519</v>
      </c>
      <c r="AU183" s="307">
        <v>9212</v>
      </c>
      <c r="AV183" s="601">
        <f t="shared" si="63"/>
        <v>22977</v>
      </c>
      <c r="AW183" s="609">
        <f t="shared" si="64"/>
        <v>957.375</v>
      </c>
      <c r="AX183" s="603">
        <f t="shared" si="65"/>
        <v>22629</v>
      </c>
      <c r="AY183" s="610">
        <f t="shared" si="66"/>
        <v>942.875</v>
      </c>
      <c r="AZ183" s="611">
        <f t="shared" si="67"/>
        <v>7035.708333333333</v>
      </c>
      <c r="BA183" s="603">
        <f t="shared" si="68"/>
        <v>7224.541666666667</v>
      </c>
    </row>
    <row r="184" spans="1:53">
      <c r="A184" s="312" t="s">
        <v>29</v>
      </c>
      <c r="B184" s="311" t="s">
        <v>392</v>
      </c>
      <c r="C184" s="397"/>
      <c r="D184" s="312">
        <v>157401</v>
      </c>
      <c r="E184" s="312">
        <v>3</v>
      </c>
      <c r="F184" s="296" t="s">
        <v>52</v>
      </c>
      <c r="G184" s="297" t="s">
        <v>52</v>
      </c>
      <c r="H184" s="298"/>
      <c r="I184" s="299"/>
      <c r="J184" s="298">
        <v>100493</v>
      </c>
      <c r="K184" s="299">
        <v>101531</v>
      </c>
      <c r="L184" s="298">
        <v>10272</v>
      </c>
      <c r="M184" s="299">
        <v>10049</v>
      </c>
      <c r="N184" s="298">
        <v>109426</v>
      </c>
      <c r="O184" s="299">
        <v>111062</v>
      </c>
      <c r="P184" s="601">
        <f t="shared" si="51"/>
        <v>220191</v>
      </c>
      <c r="Q184" s="602">
        <f t="shared" si="52"/>
        <v>7339.7</v>
      </c>
      <c r="R184" s="603">
        <f t="shared" si="53"/>
        <v>222642</v>
      </c>
      <c r="S184" s="604">
        <f t="shared" si="54"/>
        <v>7421.4</v>
      </c>
      <c r="T184" s="298">
        <v>1323</v>
      </c>
      <c r="U184" s="299">
        <v>2696</v>
      </c>
      <c r="V184" s="601">
        <f t="shared" si="55"/>
        <v>220191</v>
      </c>
      <c r="W184" s="605">
        <f t="shared" si="56"/>
        <v>222642</v>
      </c>
      <c r="X184" s="305"/>
      <c r="Y184" s="299"/>
      <c r="Z184" s="298"/>
      <c r="AA184" s="299"/>
      <c r="AB184" s="298"/>
      <c r="AC184" s="299"/>
      <c r="AD184" s="298"/>
      <c r="AE184" s="299"/>
      <c r="AF184" s="601">
        <f t="shared" si="57"/>
        <v>0</v>
      </c>
      <c r="AG184" s="602">
        <f t="shared" si="58"/>
        <v>0</v>
      </c>
      <c r="AH184" s="603">
        <f t="shared" si="59"/>
        <v>0</v>
      </c>
      <c r="AI184" s="603">
        <f t="shared" si="60"/>
        <v>0</v>
      </c>
      <c r="AJ184" s="298"/>
      <c r="AK184" s="299"/>
      <c r="AL184" s="601">
        <f t="shared" si="61"/>
        <v>0</v>
      </c>
      <c r="AM184" s="604">
        <f t="shared" si="62"/>
        <v>0</v>
      </c>
      <c r="AN184" s="306"/>
      <c r="AO184" s="307"/>
      <c r="AP184" s="298">
        <v>12795</v>
      </c>
      <c r="AQ184" s="307">
        <v>12917</v>
      </c>
      <c r="AR184" s="298">
        <v>5751</v>
      </c>
      <c r="AS184" s="307">
        <v>5565</v>
      </c>
      <c r="AT184" s="298">
        <v>13198</v>
      </c>
      <c r="AU184" s="307">
        <v>12677</v>
      </c>
      <c r="AV184" s="601">
        <f t="shared" si="63"/>
        <v>31744</v>
      </c>
      <c r="AW184" s="609">
        <f t="shared" si="64"/>
        <v>1322.6666666666667</v>
      </c>
      <c r="AX184" s="603">
        <f t="shared" si="65"/>
        <v>31159</v>
      </c>
      <c r="AY184" s="610">
        <f t="shared" si="66"/>
        <v>1298.2916666666667</v>
      </c>
      <c r="AZ184" s="611">
        <f t="shared" si="67"/>
        <v>8662.3666666666668</v>
      </c>
      <c r="BA184" s="603">
        <f t="shared" si="68"/>
        <v>8719.6916666666657</v>
      </c>
    </row>
    <row r="185" spans="1:53">
      <c r="A185" s="312" t="s">
        <v>29</v>
      </c>
      <c r="B185" s="311" t="s">
        <v>393</v>
      </c>
      <c r="C185" s="397"/>
      <c r="D185" s="312">
        <v>157951</v>
      </c>
      <c r="E185" s="312">
        <v>3</v>
      </c>
      <c r="F185" s="296" t="s">
        <v>52</v>
      </c>
      <c r="G185" s="297" t="s">
        <v>52</v>
      </c>
      <c r="H185" s="298"/>
      <c r="I185" s="299"/>
      <c r="J185" s="298">
        <v>213901.5</v>
      </c>
      <c r="K185" s="299">
        <v>211050</v>
      </c>
      <c r="L185" s="298">
        <v>25423</v>
      </c>
      <c r="M185" s="299">
        <v>24919</v>
      </c>
      <c r="N185" s="298">
        <v>224710</v>
      </c>
      <c r="O185" s="299">
        <v>223633</v>
      </c>
      <c r="P185" s="601">
        <f t="shared" si="51"/>
        <v>464034.5</v>
      </c>
      <c r="Q185" s="602">
        <f t="shared" si="52"/>
        <v>15467.816666666668</v>
      </c>
      <c r="R185" s="603">
        <f t="shared" si="53"/>
        <v>459602</v>
      </c>
      <c r="S185" s="604">
        <f t="shared" si="54"/>
        <v>15320.066666666668</v>
      </c>
      <c r="T185" s="298">
        <v>10837</v>
      </c>
      <c r="U185" s="299">
        <v>12153</v>
      </c>
      <c r="V185" s="601">
        <f t="shared" si="55"/>
        <v>464034.5</v>
      </c>
      <c r="W185" s="605">
        <f t="shared" si="56"/>
        <v>459602</v>
      </c>
      <c r="X185" s="305"/>
      <c r="Y185" s="299"/>
      <c r="Z185" s="298"/>
      <c r="AA185" s="299"/>
      <c r="AB185" s="298"/>
      <c r="AC185" s="299"/>
      <c r="AD185" s="298"/>
      <c r="AE185" s="299"/>
      <c r="AF185" s="601">
        <f t="shared" si="57"/>
        <v>0</v>
      </c>
      <c r="AG185" s="602">
        <f t="shared" si="58"/>
        <v>0</v>
      </c>
      <c r="AH185" s="603">
        <f t="shared" si="59"/>
        <v>0</v>
      </c>
      <c r="AI185" s="603">
        <f t="shared" si="60"/>
        <v>0</v>
      </c>
      <c r="AJ185" s="298"/>
      <c r="AK185" s="299"/>
      <c r="AL185" s="601">
        <f t="shared" si="61"/>
        <v>0</v>
      </c>
      <c r="AM185" s="604">
        <f t="shared" si="62"/>
        <v>0</v>
      </c>
      <c r="AN185" s="306"/>
      <c r="AO185" s="307"/>
      <c r="AP185" s="298">
        <v>20641</v>
      </c>
      <c r="AQ185" s="307">
        <v>20758</v>
      </c>
      <c r="AR185" s="298">
        <v>10018</v>
      </c>
      <c r="AS185" s="307">
        <v>9509</v>
      </c>
      <c r="AT185" s="298">
        <v>20456.5</v>
      </c>
      <c r="AU185" s="307">
        <v>19874</v>
      </c>
      <c r="AV185" s="601">
        <f t="shared" si="63"/>
        <v>51115.5</v>
      </c>
      <c r="AW185" s="609">
        <f t="shared" si="64"/>
        <v>2129.8125</v>
      </c>
      <c r="AX185" s="603">
        <f t="shared" si="65"/>
        <v>50141</v>
      </c>
      <c r="AY185" s="610">
        <f t="shared" si="66"/>
        <v>2089.2083333333335</v>
      </c>
      <c r="AZ185" s="611">
        <f t="shared" si="67"/>
        <v>17597.629166666666</v>
      </c>
      <c r="BA185" s="603">
        <f t="shared" si="68"/>
        <v>17409.275000000001</v>
      </c>
    </row>
    <row r="186" spans="1:53">
      <c r="A186" s="312" t="s">
        <v>29</v>
      </c>
      <c r="B186" s="398" t="s">
        <v>394</v>
      </c>
      <c r="C186" s="397"/>
      <c r="D186" s="312">
        <v>157058</v>
      </c>
      <c r="E186" s="349">
        <v>4</v>
      </c>
      <c r="F186" s="296" t="s">
        <v>52</v>
      </c>
      <c r="G186" s="297" t="s">
        <v>52</v>
      </c>
      <c r="H186" s="298"/>
      <c r="I186" s="299"/>
      <c r="J186" s="298">
        <v>28635.5</v>
      </c>
      <c r="K186" s="299">
        <v>29269</v>
      </c>
      <c r="L186" s="298">
        <v>4993</v>
      </c>
      <c r="M186" s="299">
        <v>4031</v>
      </c>
      <c r="N186" s="298">
        <v>32907</v>
      </c>
      <c r="O186" s="299">
        <v>30478</v>
      </c>
      <c r="P186" s="601">
        <f t="shared" si="51"/>
        <v>66535.5</v>
      </c>
      <c r="Q186" s="602">
        <f t="shared" si="52"/>
        <v>2217.85</v>
      </c>
      <c r="R186" s="603">
        <f t="shared" si="53"/>
        <v>63778</v>
      </c>
      <c r="S186" s="604">
        <f t="shared" si="54"/>
        <v>2125.9333333333334</v>
      </c>
      <c r="T186" s="298">
        <v>521</v>
      </c>
      <c r="U186" s="299">
        <v>490</v>
      </c>
      <c r="V186" s="601">
        <f t="shared" si="55"/>
        <v>66535.5</v>
      </c>
      <c r="W186" s="605">
        <f t="shared" si="56"/>
        <v>63778</v>
      </c>
      <c r="X186" s="305"/>
      <c r="Y186" s="299"/>
      <c r="Z186" s="298"/>
      <c r="AA186" s="299"/>
      <c r="AB186" s="298"/>
      <c r="AC186" s="299"/>
      <c r="AD186" s="298"/>
      <c r="AE186" s="299"/>
      <c r="AF186" s="601">
        <f t="shared" si="57"/>
        <v>0</v>
      </c>
      <c r="AG186" s="602">
        <f t="shared" si="58"/>
        <v>0</v>
      </c>
      <c r="AH186" s="603">
        <f t="shared" si="59"/>
        <v>0</v>
      </c>
      <c r="AI186" s="603">
        <f t="shared" si="60"/>
        <v>0</v>
      </c>
      <c r="AJ186" s="298"/>
      <c r="AK186" s="299"/>
      <c r="AL186" s="601">
        <f t="shared" si="61"/>
        <v>0</v>
      </c>
      <c r="AM186" s="604">
        <f t="shared" si="62"/>
        <v>0</v>
      </c>
      <c r="AN186" s="306"/>
      <c r="AO186" s="307"/>
      <c r="AP186" s="298">
        <v>1476</v>
      </c>
      <c r="AQ186" s="307">
        <v>1740</v>
      </c>
      <c r="AR186" s="298">
        <v>282</v>
      </c>
      <c r="AS186" s="307">
        <v>395</v>
      </c>
      <c r="AT186" s="298">
        <v>1847</v>
      </c>
      <c r="AU186" s="307">
        <v>1862</v>
      </c>
      <c r="AV186" s="601">
        <f t="shared" si="63"/>
        <v>3605</v>
      </c>
      <c r="AW186" s="609">
        <f t="shared" si="64"/>
        <v>150.20833333333334</v>
      </c>
      <c r="AX186" s="603">
        <f t="shared" si="65"/>
        <v>3997</v>
      </c>
      <c r="AY186" s="610">
        <f t="shared" si="66"/>
        <v>166.54166666666666</v>
      </c>
      <c r="AZ186" s="611">
        <f t="shared" si="67"/>
        <v>2368.0583333333334</v>
      </c>
      <c r="BA186" s="603">
        <f t="shared" si="68"/>
        <v>2292.4749999999999</v>
      </c>
    </row>
    <row r="187" spans="1:53">
      <c r="A187" s="312" t="s">
        <v>29</v>
      </c>
      <c r="B187" s="311" t="s">
        <v>395</v>
      </c>
      <c r="C187" s="397"/>
      <c r="D187" s="312">
        <v>157447</v>
      </c>
      <c r="E187" s="312">
        <v>4</v>
      </c>
      <c r="F187" s="296" t="s">
        <v>52</v>
      </c>
      <c r="G187" s="297" t="s">
        <v>52</v>
      </c>
      <c r="H187" s="298"/>
      <c r="I187" s="299"/>
      <c r="J187" s="298">
        <v>148527.5</v>
      </c>
      <c r="K187" s="299">
        <v>149605</v>
      </c>
      <c r="L187" s="298">
        <v>20938</v>
      </c>
      <c r="M187" s="299">
        <v>22457</v>
      </c>
      <c r="N187" s="298">
        <v>162428</v>
      </c>
      <c r="O187" s="299">
        <v>162661</v>
      </c>
      <c r="P187" s="601">
        <f t="shared" si="51"/>
        <v>331893.5</v>
      </c>
      <c r="Q187" s="602">
        <f t="shared" si="52"/>
        <v>11063.116666666667</v>
      </c>
      <c r="R187" s="603">
        <f t="shared" si="53"/>
        <v>334723</v>
      </c>
      <c r="S187" s="604">
        <f t="shared" si="54"/>
        <v>11157.433333333332</v>
      </c>
      <c r="T187" s="298">
        <v>3953</v>
      </c>
      <c r="U187" s="299">
        <v>4106</v>
      </c>
      <c r="V187" s="601">
        <f t="shared" si="55"/>
        <v>331893.5</v>
      </c>
      <c r="W187" s="605">
        <f t="shared" si="56"/>
        <v>334723</v>
      </c>
      <c r="X187" s="305"/>
      <c r="Y187" s="299"/>
      <c r="Z187" s="298"/>
      <c r="AA187" s="299"/>
      <c r="AB187" s="298"/>
      <c r="AC187" s="299"/>
      <c r="AD187" s="298"/>
      <c r="AE187" s="299"/>
      <c r="AF187" s="601">
        <f t="shared" si="57"/>
        <v>0</v>
      </c>
      <c r="AG187" s="602">
        <f t="shared" si="58"/>
        <v>0</v>
      </c>
      <c r="AH187" s="603">
        <f t="shared" si="59"/>
        <v>0</v>
      </c>
      <c r="AI187" s="603">
        <f t="shared" si="60"/>
        <v>0</v>
      </c>
      <c r="AJ187" s="298"/>
      <c r="AK187" s="299"/>
      <c r="AL187" s="601">
        <f t="shared" si="61"/>
        <v>0</v>
      </c>
      <c r="AM187" s="604">
        <f t="shared" si="62"/>
        <v>0</v>
      </c>
      <c r="AN187" s="306"/>
      <c r="AO187" s="307"/>
      <c r="AP187" s="298">
        <v>16340</v>
      </c>
      <c r="AQ187" s="307">
        <v>17048</v>
      </c>
      <c r="AR187" s="298">
        <v>6791</v>
      </c>
      <c r="AS187" s="307">
        <v>6868</v>
      </c>
      <c r="AT187" s="298">
        <v>16980</v>
      </c>
      <c r="AU187" s="307">
        <v>17415</v>
      </c>
      <c r="AV187" s="601">
        <f t="shared" si="63"/>
        <v>40111</v>
      </c>
      <c r="AW187" s="609">
        <f t="shared" si="64"/>
        <v>1671.2916666666667</v>
      </c>
      <c r="AX187" s="603">
        <f t="shared" si="65"/>
        <v>41331</v>
      </c>
      <c r="AY187" s="610">
        <f t="shared" si="66"/>
        <v>1722.125</v>
      </c>
      <c r="AZ187" s="611">
        <f t="shared" si="67"/>
        <v>12734.408333333333</v>
      </c>
      <c r="BA187" s="603">
        <f t="shared" si="68"/>
        <v>12879.558333333332</v>
      </c>
    </row>
    <row r="188" spans="1:53">
      <c r="A188" s="312" t="s">
        <v>29</v>
      </c>
      <c r="B188" s="311" t="s">
        <v>396</v>
      </c>
      <c r="C188" s="397"/>
      <c r="D188" s="312">
        <v>157173</v>
      </c>
      <c r="E188" s="312">
        <v>8</v>
      </c>
      <c r="F188" s="296" t="s">
        <v>52</v>
      </c>
      <c r="G188" s="297" t="s">
        <v>52</v>
      </c>
      <c r="H188" s="298"/>
      <c r="I188" s="299"/>
      <c r="J188" s="298">
        <v>120509.2</v>
      </c>
      <c r="K188" s="299">
        <v>123732</v>
      </c>
      <c r="L188" s="298">
        <v>26693</v>
      </c>
      <c r="M188" s="299">
        <v>27952</v>
      </c>
      <c r="N188" s="298">
        <v>131976</v>
      </c>
      <c r="O188" s="299">
        <v>134608</v>
      </c>
      <c r="P188" s="601">
        <f t="shared" si="51"/>
        <v>279178.2</v>
      </c>
      <c r="Q188" s="602">
        <f t="shared" si="52"/>
        <v>9305.94</v>
      </c>
      <c r="R188" s="603">
        <f t="shared" si="53"/>
        <v>286292</v>
      </c>
      <c r="S188" s="604">
        <f t="shared" si="54"/>
        <v>9543.0666666666675</v>
      </c>
      <c r="T188" s="298">
        <v>6083</v>
      </c>
      <c r="U188" s="299">
        <v>7198</v>
      </c>
      <c r="V188" s="601">
        <f t="shared" si="55"/>
        <v>279178.2</v>
      </c>
      <c r="W188" s="605">
        <f t="shared" si="56"/>
        <v>286292</v>
      </c>
      <c r="X188" s="305"/>
      <c r="Y188" s="299"/>
      <c r="Z188" s="298"/>
      <c r="AA188" s="299"/>
      <c r="AB188" s="298"/>
      <c r="AC188" s="299"/>
      <c r="AD188" s="298"/>
      <c r="AE188" s="299"/>
      <c r="AF188" s="601">
        <f t="shared" si="57"/>
        <v>0</v>
      </c>
      <c r="AG188" s="602">
        <f t="shared" si="58"/>
        <v>0</v>
      </c>
      <c r="AH188" s="603">
        <f t="shared" si="59"/>
        <v>0</v>
      </c>
      <c r="AI188" s="603">
        <f t="shared" si="60"/>
        <v>0</v>
      </c>
      <c r="AJ188" s="298"/>
      <c r="AK188" s="299"/>
      <c r="AL188" s="601">
        <f t="shared" si="61"/>
        <v>0</v>
      </c>
      <c r="AM188" s="604">
        <f t="shared" si="62"/>
        <v>0</v>
      </c>
      <c r="AN188" s="306"/>
      <c r="AO188" s="307"/>
      <c r="AP188" s="298"/>
      <c r="AQ188" s="307"/>
      <c r="AR188" s="298"/>
      <c r="AS188" s="307"/>
      <c r="AT188" s="298"/>
      <c r="AU188" s="307"/>
      <c r="AV188" s="601">
        <f t="shared" si="63"/>
        <v>0</v>
      </c>
      <c r="AW188" s="609">
        <f t="shared" si="64"/>
        <v>0</v>
      </c>
      <c r="AX188" s="603">
        <f t="shared" si="65"/>
        <v>0</v>
      </c>
      <c r="AY188" s="610">
        <f t="shared" si="66"/>
        <v>0</v>
      </c>
      <c r="AZ188" s="611">
        <f t="shared" si="67"/>
        <v>9305.94</v>
      </c>
      <c r="BA188" s="603">
        <f t="shared" si="68"/>
        <v>9543.0666666666675</v>
      </c>
    </row>
    <row r="189" spans="1:53">
      <c r="A189" s="312" t="s">
        <v>29</v>
      </c>
      <c r="B189" s="311" t="s">
        <v>397</v>
      </c>
      <c r="C189" s="397"/>
      <c r="D189" s="312">
        <v>156921</v>
      </c>
      <c r="E189" s="312">
        <v>8</v>
      </c>
      <c r="F189" s="296" t="s">
        <v>52</v>
      </c>
      <c r="G189" s="297" t="s">
        <v>52</v>
      </c>
      <c r="H189" s="298"/>
      <c r="I189" s="299"/>
      <c r="J189" s="298">
        <v>122116.1</v>
      </c>
      <c r="K189" s="299">
        <v>120585</v>
      </c>
      <c r="L189" s="298">
        <v>23012</v>
      </c>
      <c r="M189" s="299">
        <v>22034</v>
      </c>
      <c r="N189" s="298">
        <v>128917</v>
      </c>
      <c r="O189" s="299">
        <v>123792</v>
      </c>
      <c r="P189" s="601">
        <f t="shared" si="51"/>
        <v>274045.09999999998</v>
      </c>
      <c r="Q189" s="602">
        <f t="shared" si="52"/>
        <v>9134.8366666666661</v>
      </c>
      <c r="R189" s="603">
        <f t="shared" si="53"/>
        <v>266411</v>
      </c>
      <c r="S189" s="604">
        <f t="shared" si="54"/>
        <v>8880.3666666666668</v>
      </c>
      <c r="T189" s="298">
        <v>11985</v>
      </c>
      <c r="U189" s="299">
        <v>12829</v>
      </c>
      <c r="V189" s="601">
        <f t="shared" si="55"/>
        <v>274045.09999999998</v>
      </c>
      <c r="W189" s="605">
        <f t="shared" si="56"/>
        <v>266411</v>
      </c>
      <c r="X189" s="305"/>
      <c r="Y189" s="299"/>
      <c r="Z189" s="298"/>
      <c r="AA189" s="299"/>
      <c r="AB189" s="298"/>
      <c r="AC189" s="299"/>
      <c r="AD189" s="298"/>
      <c r="AE189" s="299"/>
      <c r="AF189" s="601">
        <f t="shared" si="57"/>
        <v>0</v>
      </c>
      <c r="AG189" s="602">
        <f t="shared" si="58"/>
        <v>0</v>
      </c>
      <c r="AH189" s="603">
        <f t="shared" si="59"/>
        <v>0</v>
      </c>
      <c r="AI189" s="603">
        <f t="shared" si="60"/>
        <v>0</v>
      </c>
      <c r="AJ189" s="298"/>
      <c r="AK189" s="299"/>
      <c r="AL189" s="601">
        <f t="shared" si="61"/>
        <v>0</v>
      </c>
      <c r="AM189" s="604">
        <f t="shared" si="62"/>
        <v>0</v>
      </c>
      <c r="AN189" s="306"/>
      <c r="AO189" s="307"/>
      <c r="AP189" s="298"/>
      <c r="AQ189" s="307"/>
      <c r="AR189" s="298"/>
      <c r="AS189" s="307"/>
      <c r="AT189" s="298"/>
      <c r="AU189" s="307"/>
      <c r="AV189" s="601">
        <f t="shared" si="63"/>
        <v>0</v>
      </c>
      <c r="AW189" s="609">
        <f t="shared" si="64"/>
        <v>0</v>
      </c>
      <c r="AX189" s="603">
        <f t="shared" si="65"/>
        <v>0</v>
      </c>
      <c r="AY189" s="610">
        <f t="shared" si="66"/>
        <v>0</v>
      </c>
      <c r="AZ189" s="611">
        <f t="shared" si="67"/>
        <v>9134.8366666666661</v>
      </c>
      <c r="BA189" s="603">
        <f t="shared" si="68"/>
        <v>8880.3666666666668</v>
      </c>
    </row>
    <row r="190" spans="1:53">
      <c r="A190" s="312" t="s">
        <v>29</v>
      </c>
      <c r="B190" s="311" t="s">
        <v>398</v>
      </c>
      <c r="C190" s="397"/>
      <c r="D190" s="312">
        <v>156231</v>
      </c>
      <c r="E190" s="312">
        <v>9</v>
      </c>
      <c r="F190" s="296" t="s">
        <v>52</v>
      </c>
      <c r="G190" s="297" t="s">
        <v>52</v>
      </c>
      <c r="H190" s="298"/>
      <c r="I190" s="299"/>
      <c r="J190" s="298">
        <v>34670.6</v>
      </c>
      <c r="K190" s="299">
        <v>35108</v>
      </c>
      <c r="L190" s="298">
        <v>6961</v>
      </c>
      <c r="M190" s="299">
        <v>8480</v>
      </c>
      <c r="N190" s="298">
        <v>45287</v>
      </c>
      <c r="O190" s="299">
        <v>43144</v>
      </c>
      <c r="P190" s="601">
        <f t="shared" si="51"/>
        <v>86918.6</v>
      </c>
      <c r="Q190" s="602">
        <f t="shared" si="52"/>
        <v>2897.2866666666669</v>
      </c>
      <c r="R190" s="603">
        <f t="shared" si="53"/>
        <v>86732</v>
      </c>
      <c r="S190" s="604">
        <f t="shared" si="54"/>
        <v>2891.0666666666666</v>
      </c>
      <c r="T190" s="298">
        <v>8362</v>
      </c>
      <c r="U190" s="299">
        <v>9358</v>
      </c>
      <c r="V190" s="601">
        <f t="shared" si="55"/>
        <v>86918.6</v>
      </c>
      <c r="W190" s="605">
        <f t="shared" si="56"/>
        <v>86732</v>
      </c>
      <c r="X190" s="305"/>
      <c r="Y190" s="299"/>
      <c r="Z190" s="298"/>
      <c r="AA190" s="299"/>
      <c r="AB190" s="298"/>
      <c r="AC190" s="299"/>
      <c r="AD190" s="298"/>
      <c r="AE190" s="299"/>
      <c r="AF190" s="601">
        <f t="shared" si="57"/>
        <v>0</v>
      </c>
      <c r="AG190" s="602">
        <f t="shared" si="58"/>
        <v>0</v>
      </c>
      <c r="AH190" s="603">
        <f t="shared" si="59"/>
        <v>0</v>
      </c>
      <c r="AI190" s="603">
        <f t="shared" si="60"/>
        <v>0</v>
      </c>
      <c r="AJ190" s="298"/>
      <c r="AK190" s="299"/>
      <c r="AL190" s="601">
        <f t="shared" si="61"/>
        <v>0</v>
      </c>
      <c r="AM190" s="604">
        <f t="shared" si="62"/>
        <v>0</v>
      </c>
      <c r="AN190" s="306"/>
      <c r="AO190" s="307"/>
      <c r="AP190" s="298"/>
      <c r="AQ190" s="307"/>
      <c r="AR190" s="298"/>
      <c r="AS190" s="307"/>
      <c r="AT190" s="298"/>
      <c r="AU190" s="307"/>
      <c r="AV190" s="601">
        <f t="shared" si="63"/>
        <v>0</v>
      </c>
      <c r="AW190" s="609">
        <f t="shared" si="64"/>
        <v>0</v>
      </c>
      <c r="AX190" s="603">
        <f t="shared" si="65"/>
        <v>0</v>
      </c>
      <c r="AY190" s="610">
        <f t="shared" si="66"/>
        <v>0</v>
      </c>
      <c r="AZ190" s="611">
        <f t="shared" si="67"/>
        <v>2897.2866666666669</v>
      </c>
      <c r="BA190" s="603">
        <f t="shared" si="68"/>
        <v>2891.0666666666666</v>
      </c>
    </row>
    <row r="191" spans="1:53">
      <c r="A191" s="312" t="s">
        <v>29</v>
      </c>
      <c r="B191" s="311" t="s">
        <v>399</v>
      </c>
      <c r="C191" s="397"/>
      <c r="D191" s="312">
        <v>157553</v>
      </c>
      <c r="E191" s="312">
        <v>9</v>
      </c>
      <c r="F191" s="296" t="s">
        <v>52</v>
      </c>
      <c r="G191" s="297" t="s">
        <v>52</v>
      </c>
      <c r="H191" s="298"/>
      <c r="I191" s="299"/>
      <c r="J191" s="298">
        <v>40177</v>
      </c>
      <c r="K191" s="299">
        <v>40087</v>
      </c>
      <c r="L191" s="298">
        <v>8855</v>
      </c>
      <c r="M191" s="299">
        <v>7575</v>
      </c>
      <c r="N191" s="298">
        <v>44013</v>
      </c>
      <c r="O191" s="299">
        <v>40140</v>
      </c>
      <c r="P191" s="601">
        <f t="shared" si="51"/>
        <v>93045</v>
      </c>
      <c r="Q191" s="602">
        <f t="shared" si="52"/>
        <v>3101.5</v>
      </c>
      <c r="R191" s="603">
        <f t="shared" si="53"/>
        <v>87802</v>
      </c>
      <c r="S191" s="604">
        <f t="shared" si="54"/>
        <v>2926.7333333333331</v>
      </c>
      <c r="T191" s="298">
        <v>2310</v>
      </c>
      <c r="U191" s="299">
        <v>2355</v>
      </c>
      <c r="V191" s="601">
        <f t="shared" si="55"/>
        <v>93045</v>
      </c>
      <c r="W191" s="605">
        <f t="shared" si="56"/>
        <v>87802</v>
      </c>
      <c r="X191" s="305"/>
      <c r="Y191" s="299"/>
      <c r="Z191" s="298"/>
      <c r="AA191" s="299"/>
      <c r="AB191" s="298"/>
      <c r="AC191" s="299"/>
      <c r="AD191" s="298"/>
      <c r="AE191" s="299"/>
      <c r="AF191" s="601">
        <f t="shared" si="57"/>
        <v>0</v>
      </c>
      <c r="AG191" s="602">
        <f t="shared" si="58"/>
        <v>0</v>
      </c>
      <c r="AH191" s="603">
        <f t="shared" si="59"/>
        <v>0</v>
      </c>
      <c r="AI191" s="603">
        <f t="shared" si="60"/>
        <v>0</v>
      </c>
      <c r="AJ191" s="298"/>
      <c r="AK191" s="299"/>
      <c r="AL191" s="601">
        <f t="shared" si="61"/>
        <v>0</v>
      </c>
      <c r="AM191" s="604">
        <f t="shared" si="62"/>
        <v>0</v>
      </c>
      <c r="AN191" s="306"/>
      <c r="AO191" s="307"/>
      <c r="AP191" s="298"/>
      <c r="AQ191" s="307"/>
      <c r="AR191" s="298"/>
      <c r="AS191" s="307"/>
      <c r="AT191" s="298"/>
      <c r="AU191" s="307"/>
      <c r="AV191" s="601">
        <f t="shared" si="63"/>
        <v>0</v>
      </c>
      <c r="AW191" s="609">
        <f t="shared" si="64"/>
        <v>0</v>
      </c>
      <c r="AX191" s="603">
        <f t="shared" si="65"/>
        <v>0</v>
      </c>
      <c r="AY191" s="610">
        <f t="shared" si="66"/>
        <v>0</v>
      </c>
      <c r="AZ191" s="611">
        <f t="shared" si="67"/>
        <v>3101.5</v>
      </c>
      <c r="BA191" s="603">
        <f t="shared" si="68"/>
        <v>2926.7333333333331</v>
      </c>
    </row>
    <row r="192" spans="1:53">
      <c r="A192" s="312" t="s">
        <v>29</v>
      </c>
      <c r="B192" s="311" t="s">
        <v>400</v>
      </c>
      <c r="C192" s="397"/>
      <c r="D192" s="312">
        <v>156648</v>
      </c>
      <c r="E192" s="312">
        <v>9</v>
      </c>
      <c r="F192" s="296" t="s">
        <v>52</v>
      </c>
      <c r="G192" s="297" t="s">
        <v>52</v>
      </c>
      <c r="H192" s="298"/>
      <c r="I192" s="299"/>
      <c r="J192" s="298">
        <v>56319</v>
      </c>
      <c r="K192" s="299">
        <v>56602</v>
      </c>
      <c r="L192" s="298">
        <v>10204</v>
      </c>
      <c r="M192" s="299">
        <v>10429</v>
      </c>
      <c r="N192" s="298">
        <v>62554</v>
      </c>
      <c r="O192" s="299">
        <v>60635</v>
      </c>
      <c r="P192" s="601">
        <f t="shared" si="51"/>
        <v>129077</v>
      </c>
      <c r="Q192" s="602">
        <f t="shared" si="52"/>
        <v>4302.5666666666666</v>
      </c>
      <c r="R192" s="603">
        <f t="shared" si="53"/>
        <v>127666</v>
      </c>
      <c r="S192" s="604">
        <f t="shared" si="54"/>
        <v>4255.5333333333338</v>
      </c>
      <c r="T192" s="298">
        <v>2188</v>
      </c>
      <c r="U192" s="299">
        <v>2349</v>
      </c>
      <c r="V192" s="601">
        <f t="shared" si="55"/>
        <v>129077</v>
      </c>
      <c r="W192" s="605">
        <f t="shared" si="56"/>
        <v>127666</v>
      </c>
      <c r="X192" s="305"/>
      <c r="Y192" s="299"/>
      <c r="Z192" s="298"/>
      <c r="AA192" s="299"/>
      <c r="AB192" s="298"/>
      <c r="AC192" s="299"/>
      <c r="AD192" s="298"/>
      <c r="AE192" s="299"/>
      <c r="AF192" s="601">
        <f t="shared" si="57"/>
        <v>0</v>
      </c>
      <c r="AG192" s="602">
        <f t="shared" si="58"/>
        <v>0</v>
      </c>
      <c r="AH192" s="603">
        <f t="shared" si="59"/>
        <v>0</v>
      </c>
      <c r="AI192" s="603">
        <f t="shared" si="60"/>
        <v>0</v>
      </c>
      <c r="AJ192" s="298"/>
      <c r="AK192" s="299"/>
      <c r="AL192" s="601">
        <f t="shared" si="61"/>
        <v>0</v>
      </c>
      <c r="AM192" s="604">
        <f t="shared" si="62"/>
        <v>0</v>
      </c>
      <c r="AN192" s="306"/>
      <c r="AO192" s="307"/>
      <c r="AP192" s="298"/>
      <c r="AQ192" s="307"/>
      <c r="AR192" s="298"/>
      <c r="AS192" s="307"/>
      <c r="AT192" s="298"/>
      <c r="AU192" s="307"/>
      <c r="AV192" s="601">
        <f t="shared" si="63"/>
        <v>0</v>
      </c>
      <c r="AW192" s="609">
        <f t="shared" si="64"/>
        <v>0</v>
      </c>
      <c r="AX192" s="603">
        <f t="shared" si="65"/>
        <v>0</v>
      </c>
      <c r="AY192" s="610">
        <f t="shared" si="66"/>
        <v>0</v>
      </c>
      <c r="AZ192" s="611">
        <f t="shared" si="67"/>
        <v>4302.5666666666666</v>
      </c>
      <c r="BA192" s="603">
        <f t="shared" si="68"/>
        <v>4255.5333333333338</v>
      </c>
    </row>
    <row r="193" spans="1:53">
      <c r="A193" s="312" t="s">
        <v>29</v>
      </c>
      <c r="B193" s="398" t="s">
        <v>409</v>
      </c>
      <c r="C193" s="428" t="s">
        <v>453</v>
      </c>
      <c r="D193" s="312">
        <v>156860</v>
      </c>
      <c r="E193" s="351">
        <v>9</v>
      </c>
      <c r="F193" s="296" t="s">
        <v>52</v>
      </c>
      <c r="G193" s="297" t="s">
        <v>52</v>
      </c>
      <c r="H193" s="298"/>
      <c r="I193" s="299"/>
      <c r="J193" s="298">
        <v>33279</v>
      </c>
      <c r="K193" s="299">
        <v>33542</v>
      </c>
      <c r="L193" s="298">
        <v>7526</v>
      </c>
      <c r="M193" s="299">
        <v>8530</v>
      </c>
      <c r="N193" s="298">
        <v>34835</v>
      </c>
      <c r="O193" s="299">
        <v>36857</v>
      </c>
      <c r="P193" s="601">
        <f t="shared" si="51"/>
        <v>75640</v>
      </c>
      <c r="Q193" s="602">
        <f t="shared" si="52"/>
        <v>2521.3333333333335</v>
      </c>
      <c r="R193" s="603">
        <f t="shared" si="53"/>
        <v>78929</v>
      </c>
      <c r="S193" s="604">
        <f t="shared" si="54"/>
        <v>2630.9666666666667</v>
      </c>
      <c r="T193" s="298">
        <v>1860</v>
      </c>
      <c r="U193" s="299">
        <v>2196</v>
      </c>
      <c r="V193" s="601">
        <f t="shared" si="55"/>
        <v>75640</v>
      </c>
      <c r="W193" s="605">
        <f t="shared" si="56"/>
        <v>78929</v>
      </c>
      <c r="X193" s="305"/>
      <c r="Y193" s="299"/>
      <c r="Z193" s="298"/>
      <c r="AA193" s="299"/>
      <c r="AB193" s="298"/>
      <c r="AC193" s="299"/>
      <c r="AD193" s="298"/>
      <c r="AE193" s="299"/>
      <c r="AF193" s="601">
        <f t="shared" si="57"/>
        <v>0</v>
      </c>
      <c r="AG193" s="602">
        <f t="shared" si="58"/>
        <v>0</v>
      </c>
      <c r="AH193" s="603">
        <f t="shared" si="59"/>
        <v>0</v>
      </c>
      <c r="AI193" s="603">
        <f t="shared" si="60"/>
        <v>0</v>
      </c>
      <c r="AJ193" s="298"/>
      <c r="AK193" s="299"/>
      <c r="AL193" s="601">
        <f t="shared" si="61"/>
        <v>0</v>
      </c>
      <c r="AM193" s="604">
        <f t="shared" si="62"/>
        <v>0</v>
      </c>
      <c r="AN193" s="306"/>
      <c r="AO193" s="307"/>
      <c r="AP193" s="298"/>
      <c r="AQ193" s="307"/>
      <c r="AR193" s="298"/>
      <c r="AS193" s="307"/>
      <c r="AT193" s="298"/>
      <c r="AU193" s="307"/>
      <c r="AV193" s="601">
        <f t="shared" si="63"/>
        <v>0</v>
      </c>
      <c r="AW193" s="609">
        <f t="shared" si="64"/>
        <v>0</v>
      </c>
      <c r="AX193" s="603">
        <f t="shared" si="65"/>
        <v>0</v>
      </c>
      <c r="AY193" s="610">
        <f t="shared" si="66"/>
        <v>0</v>
      </c>
      <c r="AZ193" s="611">
        <f t="shared" si="67"/>
        <v>2521.3333333333335</v>
      </c>
      <c r="BA193" s="603">
        <f t="shared" si="68"/>
        <v>2630.9666666666667</v>
      </c>
    </row>
    <row r="194" spans="1:53">
      <c r="A194" s="312" t="s">
        <v>29</v>
      </c>
      <c r="B194" s="311" t="s">
        <v>401</v>
      </c>
      <c r="C194" s="397"/>
      <c r="D194" s="312">
        <v>157304</v>
      </c>
      <c r="E194" s="313">
        <v>9</v>
      </c>
      <c r="F194" s="296" t="s">
        <v>52</v>
      </c>
      <c r="G194" s="297" t="s">
        <v>52</v>
      </c>
      <c r="H194" s="298"/>
      <c r="I194" s="299"/>
      <c r="J194" s="298">
        <v>28921</v>
      </c>
      <c r="K194" s="299">
        <v>28895</v>
      </c>
      <c r="L194" s="298">
        <v>4159</v>
      </c>
      <c r="M194" s="299">
        <v>3252</v>
      </c>
      <c r="N194" s="298">
        <v>31718</v>
      </c>
      <c r="O194" s="299">
        <v>30523</v>
      </c>
      <c r="P194" s="601">
        <f t="shared" si="51"/>
        <v>64798</v>
      </c>
      <c r="Q194" s="602">
        <f t="shared" si="52"/>
        <v>2159.9333333333334</v>
      </c>
      <c r="R194" s="603">
        <f t="shared" si="53"/>
        <v>62670</v>
      </c>
      <c r="S194" s="604">
        <f t="shared" si="54"/>
        <v>2089</v>
      </c>
      <c r="T194" s="298">
        <v>3759</v>
      </c>
      <c r="U194" s="299">
        <v>4474</v>
      </c>
      <c r="V194" s="601">
        <f t="shared" si="55"/>
        <v>64798</v>
      </c>
      <c r="W194" s="605">
        <f t="shared" si="56"/>
        <v>62670</v>
      </c>
      <c r="X194" s="305"/>
      <c r="Y194" s="299"/>
      <c r="Z194" s="298"/>
      <c r="AA194" s="299"/>
      <c r="AB194" s="298"/>
      <c r="AC194" s="299"/>
      <c r="AD194" s="298"/>
      <c r="AE194" s="299"/>
      <c r="AF194" s="601">
        <f t="shared" si="57"/>
        <v>0</v>
      </c>
      <c r="AG194" s="602">
        <f t="shared" si="58"/>
        <v>0</v>
      </c>
      <c r="AH194" s="603">
        <f t="shared" si="59"/>
        <v>0</v>
      </c>
      <c r="AI194" s="603">
        <f t="shared" si="60"/>
        <v>0</v>
      </c>
      <c r="AJ194" s="298"/>
      <c r="AK194" s="299"/>
      <c r="AL194" s="601">
        <f t="shared" si="61"/>
        <v>0</v>
      </c>
      <c r="AM194" s="604">
        <f t="shared" si="62"/>
        <v>0</v>
      </c>
      <c r="AN194" s="306"/>
      <c r="AO194" s="307"/>
      <c r="AP194" s="298"/>
      <c r="AQ194" s="307"/>
      <c r="AR194" s="298"/>
      <c r="AS194" s="307"/>
      <c r="AT194" s="298"/>
      <c r="AU194" s="307"/>
      <c r="AV194" s="601">
        <f t="shared" si="63"/>
        <v>0</v>
      </c>
      <c r="AW194" s="609">
        <f t="shared" si="64"/>
        <v>0</v>
      </c>
      <c r="AX194" s="603">
        <f t="shared" si="65"/>
        <v>0</v>
      </c>
      <c r="AY194" s="610">
        <f t="shared" si="66"/>
        <v>0</v>
      </c>
      <c r="AZ194" s="611">
        <f t="shared" si="67"/>
        <v>2159.9333333333334</v>
      </c>
      <c r="BA194" s="603">
        <f t="shared" si="68"/>
        <v>2089</v>
      </c>
    </row>
    <row r="195" spans="1:53">
      <c r="A195" s="312" t="s">
        <v>29</v>
      </c>
      <c r="B195" s="311" t="s">
        <v>402</v>
      </c>
      <c r="C195" s="397"/>
      <c r="D195" s="312">
        <v>157331</v>
      </c>
      <c r="E195" s="313">
        <v>9</v>
      </c>
      <c r="F195" s="296" t="s">
        <v>52</v>
      </c>
      <c r="G195" s="297" t="s">
        <v>52</v>
      </c>
      <c r="H195" s="298"/>
      <c r="I195" s="299"/>
      <c r="J195" s="298">
        <v>46017</v>
      </c>
      <c r="K195" s="299">
        <v>47733</v>
      </c>
      <c r="L195" s="298">
        <v>10286</v>
      </c>
      <c r="M195" s="299">
        <v>10304</v>
      </c>
      <c r="N195" s="298">
        <v>45595</v>
      </c>
      <c r="O195" s="299">
        <v>45934</v>
      </c>
      <c r="P195" s="601">
        <f t="shared" si="51"/>
        <v>101898</v>
      </c>
      <c r="Q195" s="602">
        <f t="shared" si="52"/>
        <v>3396.6</v>
      </c>
      <c r="R195" s="603">
        <f t="shared" si="53"/>
        <v>103971</v>
      </c>
      <c r="S195" s="604">
        <f t="shared" si="54"/>
        <v>3465.7</v>
      </c>
      <c r="T195" s="298">
        <v>6982</v>
      </c>
      <c r="U195" s="299">
        <v>7272</v>
      </c>
      <c r="V195" s="601">
        <f t="shared" si="55"/>
        <v>101898</v>
      </c>
      <c r="W195" s="605">
        <f t="shared" si="56"/>
        <v>103971</v>
      </c>
      <c r="X195" s="305"/>
      <c r="Y195" s="299"/>
      <c r="Z195" s="298"/>
      <c r="AA195" s="299"/>
      <c r="AB195" s="298"/>
      <c r="AC195" s="299"/>
      <c r="AD195" s="298"/>
      <c r="AE195" s="299"/>
      <c r="AF195" s="601">
        <f t="shared" si="57"/>
        <v>0</v>
      </c>
      <c r="AG195" s="602">
        <f t="shared" si="58"/>
        <v>0</v>
      </c>
      <c r="AH195" s="603">
        <f t="shared" si="59"/>
        <v>0</v>
      </c>
      <c r="AI195" s="603">
        <f t="shared" si="60"/>
        <v>0</v>
      </c>
      <c r="AJ195" s="298"/>
      <c r="AK195" s="299"/>
      <c r="AL195" s="601">
        <f t="shared" si="61"/>
        <v>0</v>
      </c>
      <c r="AM195" s="604">
        <f t="shared" si="62"/>
        <v>0</v>
      </c>
      <c r="AN195" s="306"/>
      <c r="AO195" s="307"/>
      <c r="AP195" s="298"/>
      <c r="AQ195" s="307"/>
      <c r="AR195" s="298"/>
      <c r="AS195" s="307"/>
      <c r="AT195" s="298"/>
      <c r="AU195" s="307"/>
      <c r="AV195" s="601">
        <f t="shared" si="63"/>
        <v>0</v>
      </c>
      <c r="AW195" s="609">
        <f t="shared" si="64"/>
        <v>0</v>
      </c>
      <c r="AX195" s="603">
        <f t="shared" si="65"/>
        <v>0</v>
      </c>
      <c r="AY195" s="610">
        <f t="shared" si="66"/>
        <v>0</v>
      </c>
      <c r="AZ195" s="611">
        <f t="shared" si="67"/>
        <v>3396.6</v>
      </c>
      <c r="BA195" s="603">
        <f t="shared" si="68"/>
        <v>3465.7</v>
      </c>
    </row>
    <row r="196" spans="1:53">
      <c r="A196" s="312" t="s">
        <v>29</v>
      </c>
      <c r="B196" s="311" t="s">
        <v>403</v>
      </c>
      <c r="C196" s="397"/>
      <c r="D196" s="312">
        <v>247940</v>
      </c>
      <c r="E196" s="312">
        <v>9</v>
      </c>
      <c r="F196" s="296" t="s">
        <v>52</v>
      </c>
      <c r="G196" s="297" t="s">
        <v>52</v>
      </c>
      <c r="H196" s="298"/>
      <c r="I196" s="299"/>
      <c r="J196" s="298">
        <v>41679</v>
      </c>
      <c r="K196" s="299">
        <v>42505</v>
      </c>
      <c r="L196" s="298">
        <v>6128</v>
      </c>
      <c r="M196" s="299">
        <v>5971</v>
      </c>
      <c r="N196" s="298">
        <v>51170</v>
      </c>
      <c r="O196" s="299">
        <v>48398</v>
      </c>
      <c r="P196" s="601">
        <f t="shared" si="51"/>
        <v>98977</v>
      </c>
      <c r="Q196" s="602">
        <f t="shared" si="52"/>
        <v>3299.2333333333331</v>
      </c>
      <c r="R196" s="603">
        <f t="shared" si="53"/>
        <v>96874</v>
      </c>
      <c r="S196" s="604">
        <f t="shared" si="54"/>
        <v>3229.1333333333332</v>
      </c>
      <c r="T196" s="298">
        <v>17977</v>
      </c>
      <c r="U196" s="299">
        <v>16621</v>
      </c>
      <c r="V196" s="601">
        <f t="shared" si="55"/>
        <v>98977</v>
      </c>
      <c r="W196" s="605">
        <f t="shared" si="56"/>
        <v>96874</v>
      </c>
      <c r="X196" s="305"/>
      <c r="Y196" s="299"/>
      <c r="Z196" s="298"/>
      <c r="AA196" s="299"/>
      <c r="AB196" s="298"/>
      <c r="AC196" s="299"/>
      <c r="AD196" s="298"/>
      <c r="AE196" s="299"/>
      <c r="AF196" s="601">
        <f t="shared" si="57"/>
        <v>0</v>
      </c>
      <c r="AG196" s="602">
        <f t="shared" si="58"/>
        <v>0</v>
      </c>
      <c r="AH196" s="603">
        <f t="shared" si="59"/>
        <v>0</v>
      </c>
      <c r="AI196" s="603">
        <f t="shared" si="60"/>
        <v>0</v>
      </c>
      <c r="AJ196" s="298"/>
      <c r="AK196" s="299"/>
      <c r="AL196" s="601">
        <f t="shared" si="61"/>
        <v>0</v>
      </c>
      <c r="AM196" s="604">
        <f t="shared" si="62"/>
        <v>0</v>
      </c>
      <c r="AN196" s="306"/>
      <c r="AO196" s="307"/>
      <c r="AP196" s="298"/>
      <c r="AQ196" s="307"/>
      <c r="AR196" s="298"/>
      <c r="AS196" s="307"/>
      <c r="AT196" s="298"/>
      <c r="AU196" s="307"/>
      <c r="AV196" s="601">
        <f t="shared" si="63"/>
        <v>0</v>
      </c>
      <c r="AW196" s="609">
        <f t="shared" si="64"/>
        <v>0</v>
      </c>
      <c r="AX196" s="603">
        <f t="shared" si="65"/>
        <v>0</v>
      </c>
      <c r="AY196" s="610">
        <f t="shared" si="66"/>
        <v>0</v>
      </c>
      <c r="AZ196" s="611">
        <f t="shared" si="67"/>
        <v>3299.2333333333331</v>
      </c>
      <c r="BA196" s="603">
        <f t="shared" si="68"/>
        <v>3229.1333333333332</v>
      </c>
    </row>
    <row r="197" spans="1:53">
      <c r="A197" s="312" t="s">
        <v>29</v>
      </c>
      <c r="B197" s="311" t="s">
        <v>404</v>
      </c>
      <c r="C197" s="397" t="s">
        <v>460</v>
      </c>
      <c r="D197" s="312">
        <v>157711</v>
      </c>
      <c r="E197" s="312">
        <v>9</v>
      </c>
      <c r="F197" s="296" t="s">
        <v>52</v>
      </c>
      <c r="G197" s="297" t="s">
        <v>52</v>
      </c>
      <c r="H197" s="298"/>
      <c r="I197" s="299"/>
      <c r="J197" s="298">
        <v>70326</v>
      </c>
      <c r="K197" s="299">
        <v>77066</v>
      </c>
      <c r="L197" s="298">
        <v>12302</v>
      </c>
      <c r="M197" s="299">
        <v>13713</v>
      </c>
      <c r="N197" s="298">
        <v>81708</v>
      </c>
      <c r="O197" s="299">
        <v>82170</v>
      </c>
      <c r="P197" s="601">
        <f t="shared" si="51"/>
        <v>164336</v>
      </c>
      <c r="Q197" s="602">
        <f t="shared" si="52"/>
        <v>5477.8666666666668</v>
      </c>
      <c r="R197" s="603">
        <f t="shared" si="53"/>
        <v>172949</v>
      </c>
      <c r="S197" s="604">
        <f t="shared" si="54"/>
        <v>5764.9666666666662</v>
      </c>
      <c r="T197" s="298">
        <v>9766</v>
      </c>
      <c r="U197" s="299">
        <v>10299</v>
      </c>
      <c r="V197" s="601">
        <f t="shared" si="55"/>
        <v>164336</v>
      </c>
      <c r="W197" s="605">
        <f t="shared" si="56"/>
        <v>172949</v>
      </c>
      <c r="X197" s="305"/>
      <c r="Y197" s="299"/>
      <c r="Z197" s="298"/>
      <c r="AA197" s="299"/>
      <c r="AB197" s="298"/>
      <c r="AC197" s="299"/>
      <c r="AD197" s="298"/>
      <c r="AE197" s="299"/>
      <c r="AF197" s="601">
        <f t="shared" si="57"/>
        <v>0</v>
      </c>
      <c r="AG197" s="602">
        <f t="shared" si="58"/>
        <v>0</v>
      </c>
      <c r="AH197" s="603">
        <f t="shared" si="59"/>
        <v>0</v>
      </c>
      <c r="AI197" s="603">
        <f t="shared" si="60"/>
        <v>0</v>
      </c>
      <c r="AJ197" s="298"/>
      <c r="AK197" s="299"/>
      <c r="AL197" s="601">
        <f t="shared" si="61"/>
        <v>0</v>
      </c>
      <c r="AM197" s="604">
        <f t="shared" si="62"/>
        <v>0</v>
      </c>
      <c r="AN197" s="306"/>
      <c r="AO197" s="307"/>
      <c r="AP197" s="298"/>
      <c r="AQ197" s="307"/>
      <c r="AR197" s="298"/>
      <c r="AS197" s="307"/>
      <c r="AT197" s="298"/>
      <c r="AU197" s="307"/>
      <c r="AV197" s="601">
        <f t="shared" si="63"/>
        <v>0</v>
      </c>
      <c r="AW197" s="609">
        <f t="shared" si="64"/>
        <v>0</v>
      </c>
      <c r="AX197" s="603">
        <f t="shared" si="65"/>
        <v>0</v>
      </c>
      <c r="AY197" s="610">
        <f t="shared" si="66"/>
        <v>0</v>
      </c>
      <c r="AZ197" s="611">
        <f t="shared" si="67"/>
        <v>5477.8666666666668</v>
      </c>
      <c r="BA197" s="603">
        <f t="shared" si="68"/>
        <v>5764.9666666666662</v>
      </c>
    </row>
    <row r="198" spans="1:53">
      <c r="A198" s="312" t="s">
        <v>29</v>
      </c>
      <c r="B198" s="398" t="s">
        <v>405</v>
      </c>
      <c r="C198" s="397"/>
      <c r="D198" s="312">
        <v>157739</v>
      </c>
      <c r="E198" s="312">
        <v>9</v>
      </c>
      <c r="F198" s="296" t="s">
        <v>52</v>
      </c>
      <c r="G198" s="297" t="s">
        <v>52</v>
      </c>
      <c r="H198" s="298"/>
      <c r="I198" s="299"/>
      <c r="J198" s="298">
        <v>34902</v>
      </c>
      <c r="K198" s="299">
        <v>32887</v>
      </c>
      <c r="L198" s="298">
        <v>4163</v>
      </c>
      <c r="M198" s="299">
        <v>4019</v>
      </c>
      <c r="N198" s="298">
        <v>37022</v>
      </c>
      <c r="O198" s="299">
        <v>35094</v>
      </c>
      <c r="P198" s="601">
        <f t="shared" si="51"/>
        <v>76087</v>
      </c>
      <c r="Q198" s="602">
        <f t="shared" si="52"/>
        <v>2536.2333333333331</v>
      </c>
      <c r="R198" s="603">
        <f t="shared" si="53"/>
        <v>72000</v>
      </c>
      <c r="S198" s="604">
        <f t="shared" si="54"/>
        <v>2400</v>
      </c>
      <c r="T198" s="298">
        <v>5682</v>
      </c>
      <c r="U198" s="299">
        <v>5024</v>
      </c>
      <c r="V198" s="601">
        <f t="shared" si="55"/>
        <v>76087</v>
      </c>
      <c r="W198" s="605">
        <f t="shared" si="56"/>
        <v>72000</v>
      </c>
      <c r="X198" s="305"/>
      <c r="Y198" s="299"/>
      <c r="Z198" s="298"/>
      <c r="AA198" s="299"/>
      <c r="AB198" s="298"/>
      <c r="AC198" s="299"/>
      <c r="AD198" s="298"/>
      <c r="AE198" s="299"/>
      <c r="AF198" s="601">
        <f t="shared" si="57"/>
        <v>0</v>
      </c>
      <c r="AG198" s="602">
        <f t="shared" si="58"/>
        <v>0</v>
      </c>
      <c r="AH198" s="603">
        <f t="shared" si="59"/>
        <v>0</v>
      </c>
      <c r="AI198" s="603">
        <f t="shared" si="60"/>
        <v>0</v>
      </c>
      <c r="AJ198" s="298"/>
      <c r="AK198" s="299"/>
      <c r="AL198" s="601">
        <f t="shared" si="61"/>
        <v>0</v>
      </c>
      <c r="AM198" s="604">
        <f t="shared" si="62"/>
        <v>0</v>
      </c>
      <c r="AN198" s="306"/>
      <c r="AO198" s="307"/>
      <c r="AP198" s="298"/>
      <c r="AQ198" s="307"/>
      <c r="AR198" s="298"/>
      <c r="AS198" s="307"/>
      <c r="AT198" s="298"/>
      <c r="AU198" s="307"/>
      <c r="AV198" s="601">
        <f t="shared" si="63"/>
        <v>0</v>
      </c>
      <c r="AW198" s="609">
        <f t="shared" si="64"/>
        <v>0</v>
      </c>
      <c r="AX198" s="603">
        <f t="shared" si="65"/>
        <v>0</v>
      </c>
      <c r="AY198" s="610">
        <f t="shared" si="66"/>
        <v>0</v>
      </c>
      <c r="AZ198" s="611">
        <f t="shared" si="67"/>
        <v>2536.2333333333331</v>
      </c>
      <c r="BA198" s="603">
        <f t="shared" si="68"/>
        <v>2400</v>
      </c>
    </row>
    <row r="199" spans="1:53">
      <c r="A199" s="312" t="s">
        <v>29</v>
      </c>
      <c r="B199" s="311" t="s">
        <v>406</v>
      </c>
      <c r="C199" s="397"/>
      <c r="D199" s="312">
        <v>157483</v>
      </c>
      <c r="E199" s="312">
        <v>9</v>
      </c>
      <c r="F199" s="296" t="s">
        <v>52</v>
      </c>
      <c r="G199" s="297" t="s">
        <v>52</v>
      </c>
      <c r="H199" s="298"/>
      <c r="I199" s="299"/>
      <c r="J199" s="298">
        <v>50478</v>
      </c>
      <c r="K199" s="299">
        <v>54242</v>
      </c>
      <c r="L199" s="298">
        <v>11569</v>
      </c>
      <c r="M199" s="299">
        <v>11607</v>
      </c>
      <c r="N199" s="298">
        <v>60405</v>
      </c>
      <c r="O199" s="299">
        <v>62468</v>
      </c>
      <c r="P199" s="601">
        <f t="shared" ref="P199:P262" si="69">SUM(H199,J199,L199,N199)</f>
        <v>122452</v>
      </c>
      <c r="Q199" s="602">
        <f t="shared" ref="Q199:Q262" si="70">+P199/30</f>
        <v>4081.7333333333331</v>
      </c>
      <c r="R199" s="603">
        <f t="shared" ref="R199:R262" si="71">SUM(I199,K199,M199,O199)</f>
        <v>128317</v>
      </c>
      <c r="S199" s="604">
        <f t="shared" ref="S199:S262" si="72">+R199/30</f>
        <v>4277.2333333333336</v>
      </c>
      <c r="T199" s="298">
        <v>9892</v>
      </c>
      <c r="U199" s="299">
        <v>10705</v>
      </c>
      <c r="V199" s="601">
        <f t="shared" ref="V199:V262" si="73">IF(ISBLANK(T199),0,P199)</f>
        <v>122452</v>
      </c>
      <c r="W199" s="605">
        <f t="shared" ref="W199:W262" si="74">IF(ISBLANK(U199),0,R199)</f>
        <v>128317</v>
      </c>
      <c r="X199" s="305"/>
      <c r="Y199" s="299"/>
      <c r="Z199" s="298"/>
      <c r="AA199" s="299"/>
      <c r="AB199" s="298"/>
      <c r="AC199" s="299"/>
      <c r="AD199" s="298"/>
      <c r="AE199" s="299"/>
      <c r="AF199" s="601">
        <f t="shared" ref="AF199:AF262" si="75">SUM(X199,Z199,AB199,AD199)</f>
        <v>0</v>
      </c>
      <c r="AG199" s="602">
        <f t="shared" ref="AG199:AG262" si="76">+AF199/900</f>
        <v>0</v>
      </c>
      <c r="AH199" s="603">
        <f t="shared" ref="AH199:AH262" si="77">SUM(Y199,AA199,AC199,AE199)</f>
        <v>0</v>
      </c>
      <c r="AI199" s="603">
        <f t="shared" ref="AI199:AI262" si="78">+AH199/900</f>
        <v>0</v>
      </c>
      <c r="AJ199" s="298"/>
      <c r="AK199" s="299"/>
      <c r="AL199" s="601">
        <f t="shared" ref="AL199:AL262" si="79">IF(ISBLANK(AJ199),0,AF199)</f>
        <v>0</v>
      </c>
      <c r="AM199" s="604">
        <f t="shared" ref="AM199:AM262" si="80">IF(ISBLANK(AK199),0,AH199)</f>
        <v>0</v>
      </c>
      <c r="AN199" s="306"/>
      <c r="AO199" s="307"/>
      <c r="AP199" s="298"/>
      <c r="AQ199" s="307"/>
      <c r="AR199" s="298"/>
      <c r="AS199" s="307"/>
      <c r="AT199" s="298"/>
      <c r="AU199" s="307"/>
      <c r="AV199" s="601">
        <f t="shared" ref="AV199:AV262" si="81">SUM(AN199,AP199,AR199,AT199)</f>
        <v>0</v>
      </c>
      <c r="AW199" s="609">
        <f t="shared" ref="AW199:AW262" si="82">+AV199/24</f>
        <v>0</v>
      </c>
      <c r="AX199" s="603">
        <f t="shared" ref="AX199:AX262" si="83">SUM(AO199,AQ199,AS199,AU199)</f>
        <v>0</v>
      </c>
      <c r="AY199" s="610">
        <f t="shared" ref="AY199:AY262" si="84">+AX199/24</f>
        <v>0</v>
      </c>
      <c r="AZ199" s="611">
        <f t="shared" ref="AZ199:AZ262" si="85">SUM(Q199,AG199,AW199)</f>
        <v>4081.7333333333331</v>
      </c>
      <c r="BA199" s="603">
        <f t="shared" ref="BA199:BA262" si="86">SUM(S199,AI199,AY199)</f>
        <v>4277.2333333333336</v>
      </c>
    </row>
    <row r="200" spans="1:53">
      <c r="A200" s="312" t="s">
        <v>29</v>
      </c>
      <c r="B200" s="398" t="s">
        <v>407</v>
      </c>
      <c r="C200" s="397" t="s">
        <v>461</v>
      </c>
      <c r="D200" s="312">
        <v>156790</v>
      </c>
      <c r="E200" s="312">
        <v>10</v>
      </c>
      <c r="F200" s="296" t="s">
        <v>52</v>
      </c>
      <c r="G200" s="297" t="s">
        <v>52</v>
      </c>
      <c r="H200" s="298"/>
      <c r="I200" s="299"/>
      <c r="J200" s="298">
        <v>29902</v>
      </c>
      <c r="K200" s="299">
        <v>29430</v>
      </c>
      <c r="L200" s="298">
        <v>5178</v>
      </c>
      <c r="M200" s="299">
        <v>5648</v>
      </c>
      <c r="N200" s="298">
        <v>34598</v>
      </c>
      <c r="O200" s="299">
        <v>33285</v>
      </c>
      <c r="P200" s="601">
        <f t="shared" si="69"/>
        <v>69678</v>
      </c>
      <c r="Q200" s="602">
        <f t="shared" si="70"/>
        <v>2322.6</v>
      </c>
      <c r="R200" s="603">
        <f t="shared" si="71"/>
        <v>68363</v>
      </c>
      <c r="S200" s="604">
        <f t="shared" si="72"/>
        <v>2278.7666666666669</v>
      </c>
      <c r="T200" s="298">
        <v>4195</v>
      </c>
      <c r="U200" s="299">
        <v>4848</v>
      </c>
      <c r="V200" s="601">
        <f t="shared" si="73"/>
        <v>69678</v>
      </c>
      <c r="W200" s="605">
        <f t="shared" si="74"/>
        <v>68363</v>
      </c>
      <c r="X200" s="305"/>
      <c r="Y200" s="299"/>
      <c r="Z200" s="298"/>
      <c r="AA200" s="299"/>
      <c r="AB200" s="298"/>
      <c r="AC200" s="299"/>
      <c r="AD200" s="298"/>
      <c r="AE200" s="299"/>
      <c r="AF200" s="601">
        <f t="shared" si="75"/>
        <v>0</v>
      </c>
      <c r="AG200" s="602">
        <f t="shared" si="76"/>
        <v>0</v>
      </c>
      <c r="AH200" s="603">
        <f t="shared" si="77"/>
        <v>0</v>
      </c>
      <c r="AI200" s="603">
        <f t="shared" si="78"/>
        <v>0</v>
      </c>
      <c r="AJ200" s="298"/>
      <c r="AK200" s="299"/>
      <c r="AL200" s="601">
        <f t="shared" si="79"/>
        <v>0</v>
      </c>
      <c r="AM200" s="604">
        <f t="shared" si="80"/>
        <v>0</v>
      </c>
      <c r="AN200" s="306"/>
      <c r="AO200" s="307"/>
      <c r="AP200" s="298"/>
      <c r="AQ200" s="307"/>
      <c r="AR200" s="298"/>
      <c r="AS200" s="307"/>
      <c r="AT200" s="298"/>
      <c r="AU200" s="307"/>
      <c r="AV200" s="601">
        <f t="shared" si="81"/>
        <v>0</v>
      </c>
      <c r="AW200" s="609">
        <f t="shared" si="82"/>
        <v>0</v>
      </c>
      <c r="AX200" s="603">
        <f t="shared" si="83"/>
        <v>0</v>
      </c>
      <c r="AY200" s="610">
        <f t="shared" si="84"/>
        <v>0</v>
      </c>
      <c r="AZ200" s="611">
        <f t="shared" si="85"/>
        <v>2322.6</v>
      </c>
      <c r="BA200" s="603">
        <f t="shared" si="86"/>
        <v>2278.7666666666669</v>
      </c>
    </row>
    <row r="201" spans="1:53">
      <c r="A201" s="312" t="s">
        <v>29</v>
      </c>
      <c r="B201" s="311" t="s">
        <v>408</v>
      </c>
      <c r="C201" s="397"/>
      <c r="D201" s="312">
        <v>156851</v>
      </c>
      <c r="E201" s="312">
        <v>10</v>
      </c>
      <c r="F201" s="296" t="s">
        <v>52</v>
      </c>
      <c r="G201" s="297" t="s">
        <v>52</v>
      </c>
      <c r="H201" s="298"/>
      <c r="I201" s="299"/>
      <c r="J201" s="298">
        <v>19450</v>
      </c>
      <c r="K201" s="299">
        <v>18837</v>
      </c>
      <c r="L201" s="298">
        <v>5087</v>
      </c>
      <c r="M201" s="299">
        <v>3798</v>
      </c>
      <c r="N201" s="298">
        <v>20657</v>
      </c>
      <c r="O201" s="299">
        <v>20600</v>
      </c>
      <c r="P201" s="601">
        <f t="shared" si="69"/>
        <v>45194</v>
      </c>
      <c r="Q201" s="602">
        <f t="shared" si="70"/>
        <v>1506.4666666666667</v>
      </c>
      <c r="R201" s="603">
        <f t="shared" si="71"/>
        <v>43235</v>
      </c>
      <c r="S201" s="604">
        <f t="shared" si="72"/>
        <v>1441.1666666666667</v>
      </c>
      <c r="T201" s="298">
        <v>1553</v>
      </c>
      <c r="U201" s="299">
        <v>1619</v>
      </c>
      <c r="V201" s="601">
        <f t="shared" si="73"/>
        <v>45194</v>
      </c>
      <c r="W201" s="605">
        <f t="shared" si="74"/>
        <v>43235</v>
      </c>
      <c r="X201" s="305"/>
      <c r="Y201" s="299"/>
      <c r="Z201" s="298"/>
      <c r="AA201" s="299"/>
      <c r="AB201" s="298"/>
      <c r="AC201" s="299"/>
      <c r="AD201" s="298"/>
      <c r="AE201" s="299"/>
      <c r="AF201" s="601">
        <f t="shared" si="75"/>
        <v>0</v>
      </c>
      <c r="AG201" s="602">
        <f t="shared" si="76"/>
        <v>0</v>
      </c>
      <c r="AH201" s="603">
        <f t="shared" si="77"/>
        <v>0</v>
      </c>
      <c r="AI201" s="603">
        <f t="shared" si="78"/>
        <v>0</v>
      </c>
      <c r="AJ201" s="298"/>
      <c r="AK201" s="299"/>
      <c r="AL201" s="601">
        <f t="shared" si="79"/>
        <v>0</v>
      </c>
      <c r="AM201" s="604">
        <f t="shared" si="80"/>
        <v>0</v>
      </c>
      <c r="AN201" s="306"/>
      <c r="AO201" s="307"/>
      <c r="AP201" s="298"/>
      <c r="AQ201" s="307"/>
      <c r="AR201" s="298"/>
      <c r="AS201" s="307"/>
      <c r="AT201" s="298"/>
      <c r="AU201" s="307"/>
      <c r="AV201" s="601">
        <f t="shared" si="81"/>
        <v>0</v>
      </c>
      <c r="AW201" s="609">
        <f t="shared" si="82"/>
        <v>0</v>
      </c>
      <c r="AX201" s="603">
        <f t="shared" si="83"/>
        <v>0</v>
      </c>
      <c r="AY201" s="610">
        <f t="shared" si="84"/>
        <v>0</v>
      </c>
      <c r="AZ201" s="611">
        <f t="shared" si="85"/>
        <v>1506.4666666666667</v>
      </c>
      <c r="BA201" s="603">
        <f t="shared" si="86"/>
        <v>1441.1666666666667</v>
      </c>
    </row>
    <row r="202" spans="1:53">
      <c r="A202" s="312" t="s">
        <v>29</v>
      </c>
      <c r="B202" s="311" t="s">
        <v>410</v>
      </c>
      <c r="C202" s="397"/>
      <c r="D202" s="312">
        <v>156338</v>
      </c>
      <c r="E202" s="312">
        <v>12</v>
      </c>
      <c r="F202" s="296" t="s">
        <v>52</v>
      </c>
      <c r="G202" s="297" t="s">
        <v>52</v>
      </c>
      <c r="H202" s="298"/>
      <c r="I202" s="299"/>
      <c r="J202" s="298">
        <v>28577</v>
      </c>
      <c r="K202" s="299">
        <v>29052</v>
      </c>
      <c r="L202" s="298">
        <v>5207</v>
      </c>
      <c r="M202" s="299">
        <v>4837</v>
      </c>
      <c r="N202" s="298">
        <v>33729</v>
      </c>
      <c r="O202" s="299">
        <v>35470</v>
      </c>
      <c r="P202" s="601">
        <f t="shared" si="69"/>
        <v>67513</v>
      </c>
      <c r="Q202" s="602">
        <f t="shared" si="70"/>
        <v>2250.4333333333334</v>
      </c>
      <c r="R202" s="603">
        <f t="shared" si="71"/>
        <v>69359</v>
      </c>
      <c r="S202" s="604">
        <f t="shared" si="72"/>
        <v>2311.9666666666667</v>
      </c>
      <c r="T202" s="298">
        <v>5391</v>
      </c>
      <c r="U202" s="299">
        <v>5845</v>
      </c>
      <c r="V202" s="601">
        <f t="shared" si="73"/>
        <v>67513</v>
      </c>
      <c r="W202" s="605">
        <f t="shared" si="74"/>
        <v>69359</v>
      </c>
      <c r="X202" s="305"/>
      <c r="Y202" s="299"/>
      <c r="Z202" s="298"/>
      <c r="AA202" s="299"/>
      <c r="AB202" s="298"/>
      <c r="AC202" s="299"/>
      <c r="AD202" s="298"/>
      <c r="AE202" s="299"/>
      <c r="AF202" s="601">
        <f t="shared" si="75"/>
        <v>0</v>
      </c>
      <c r="AG202" s="602">
        <f t="shared" si="76"/>
        <v>0</v>
      </c>
      <c r="AH202" s="603">
        <f t="shared" si="77"/>
        <v>0</v>
      </c>
      <c r="AI202" s="603">
        <f t="shared" si="78"/>
        <v>0</v>
      </c>
      <c r="AJ202" s="298"/>
      <c r="AK202" s="299"/>
      <c r="AL202" s="601">
        <f t="shared" si="79"/>
        <v>0</v>
      </c>
      <c r="AM202" s="604">
        <f t="shared" si="80"/>
        <v>0</v>
      </c>
      <c r="AN202" s="306"/>
      <c r="AO202" s="307"/>
      <c r="AP202" s="298"/>
      <c r="AQ202" s="307"/>
      <c r="AR202" s="298"/>
      <c r="AS202" s="307"/>
      <c r="AT202" s="298"/>
      <c r="AU202" s="307"/>
      <c r="AV202" s="601">
        <f t="shared" si="81"/>
        <v>0</v>
      </c>
      <c r="AW202" s="609">
        <f t="shared" si="82"/>
        <v>0</v>
      </c>
      <c r="AX202" s="603">
        <f t="shared" si="83"/>
        <v>0</v>
      </c>
      <c r="AY202" s="610">
        <f t="shared" si="84"/>
        <v>0</v>
      </c>
      <c r="AZ202" s="611">
        <f t="shared" si="85"/>
        <v>2250.4333333333334</v>
      </c>
      <c r="BA202" s="603">
        <f t="shared" si="86"/>
        <v>2311.9666666666667</v>
      </c>
    </row>
    <row r="203" spans="1:53">
      <c r="A203" s="312" t="s">
        <v>29</v>
      </c>
      <c r="B203" s="311" t="s">
        <v>411</v>
      </c>
      <c r="C203" s="397"/>
      <c r="D203" s="312">
        <v>157438</v>
      </c>
      <c r="E203" s="313">
        <v>12</v>
      </c>
      <c r="F203" s="296" t="s">
        <v>52</v>
      </c>
      <c r="G203" s="297" t="s">
        <v>52</v>
      </c>
      <c r="H203" s="298"/>
      <c r="I203" s="299"/>
      <c r="J203" s="298">
        <v>29450</v>
      </c>
      <c r="K203" s="299">
        <v>32870</v>
      </c>
      <c r="L203" s="298">
        <v>6093</v>
      </c>
      <c r="M203" s="299">
        <v>7251</v>
      </c>
      <c r="N203" s="298">
        <v>34479</v>
      </c>
      <c r="O203" s="299">
        <v>35036</v>
      </c>
      <c r="P203" s="601">
        <f t="shared" si="69"/>
        <v>70022</v>
      </c>
      <c r="Q203" s="602">
        <f t="shared" si="70"/>
        <v>2334.0666666666666</v>
      </c>
      <c r="R203" s="603">
        <f t="shared" si="71"/>
        <v>75157</v>
      </c>
      <c r="S203" s="604">
        <f t="shared" si="72"/>
        <v>2505.2333333333331</v>
      </c>
      <c r="T203" s="298">
        <v>3294</v>
      </c>
      <c r="U203" s="299">
        <v>3290</v>
      </c>
      <c r="V203" s="601">
        <f t="shared" si="73"/>
        <v>70022</v>
      </c>
      <c r="W203" s="605">
        <f t="shared" si="74"/>
        <v>75157</v>
      </c>
      <c r="X203" s="305"/>
      <c r="Y203" s="299"/>
      <c r="Z203" s="298"/>
      <c r="AA203" s="299"/>
      <c r="AB203" s="298"/>
      <c r="AC203" s="299"/>
      <c r="AD203" s="298"/>
      <c r="AE203" s="299"/>
      <c r="AF203" s="601">
        <f t="shared" si="75"/>
        <v>0</v>
      </c>
      <c r="AG203" s="602">
        <f t="shared" si="76"/>
        <v>0</v>
      </c>
      <c r="AH203" s="603">
        <f t="shared" si="77"/>
        <v>0</v>
      </c>
      <c r="AI203" s="603">
        <f t="shared" si="78"/>
        <v>0</v>
      </c>
      <c r="AJ203" s="298"/>
      <c r="AK203" s="299"/>
      <c r="AL203" s="601">
        <f t="shared" si="79"/>
        <v>0</v>
      </c>
      <c r="AM203" s="604">
        <f t="shared" si="80"/>
        <v>0</v>
      </c>
      <c r="AN203" s="306"/>
      <c r="AO203" s="307"/>
      <c r="AP203" s="298"/>
      <c r="AQ203" s="307"/>
      <c r="AR203" s="298"/>
      <c r="AS203" s="307"/>
      <c r="AT203" s="298"/>
      <c r="AU203" s="307"/>
      <c r="AV203" s="601">
        <f t="shared" si="81"/>
        <v>0</v>
      </c>
      <c r="AW203" s="609">
        <f t="shared" si="82"/>
        <v>0</v>
      </c>
      <c r="AX203" s="603">
        <f t="shared" si="83"/>
        <v>0</v>
      </c>
      <c r="AY203" s="610">
        <f t="shared" si="84"/>
        <v>0</v>
      </c>
      <c r="AZ203" s="611">
        <f t="shared" si="85"/>
        <v>2334.0666666666666</v>
      </c>
      <c r="BA203" s="603">
        <f t="shared" si="86"/>
        <v>2505.2333333333331</v>
      </c>
    </row>
    <row r="204" spans="1:53">
      <c r="A204" s="399" t="s">
        <v>204</v>
      </c>
      <c r="B204" s="400" t="s">
        <v>412</v>
      </c>
      <c r="C204" s="400"/>
      <c r="D204" s="399">
        <v>159391</v>
      </c>
      <c r="E204" s="399">
        <v>1</v>
      </c>
      <c r="F204" s="296" t="s">
        <v>52</v>
      </c>
      <c r="G204" s="297" t="s">
        <v>52</v>
      </c>
      <c r="H204" s="298"/>
      <c r="I204" s="299"/>
      <c r="J204" s="298">
        <v>314754</v>
      </c>
      <c r="K204" s="299">
        <v>321960</v>
      </c>
      <c r="L204" s="298">
        <v>43882</v>
      </c>
      <c r="M204" s="754">
        <v>45694</v>
      </c>
      <c r="N204" s="298">
        <v>360757</v>
      </c>
      <c r="O204" s="754">
        <v>359983</v>
      </c>
      <c r="P204" s="601">
        <f t="shared" si="69"/>
        <v>719393</v>
      </c>
      <c r="Q204" s="602">
        <f t="shared" si="70"/>
        <v>23979.766666666666</v>
      </c>
      <c r="R204" s="603">
        <f t="shared" si="71"/>
        <v>727637</v>
      </c>
      <c r="S204" s="604">
        <f t="shared" si="72"/>
        <v>24254.566666666666</v>
      </c>
      <c r="T204" s="298">
        <v>741</v>
      </c>
      <c r="U204" s="299">
        <v>1574</v>
      </c>
      <c r="V204" s="601">
        <f t="shared" si="73"/>
        <v>719393</v>
      </c>
      <c r="W204" s="605">
        <f t="shared" si="74"/>
        <v>727637</v>
      </c>
      <c r="X204" s="305"/>
      <c r="Y204" s="299"/>
      <c r="Z204" s="298"/>
      <c r="AA204" s="299"/>
      <c r="AB204" s="298"/>
      <c r="AC204" s="299"/>
      <c r="AD204" s="298"/>
      <c r="AE204" s="299"/>
      <c r="AF204" s="601">
        <f t="shared" si="75"/>
        <v>0</v>
      </c>
      <c r="AG204" s="602">
        <f t="shared" si="76"/>
        <v>0</v>
      </c>
      <c r="AH204" s="603">
        <f t="shared" si="77"/>
        <v>0</v>
      </c>
      <c r="AI204" s="603">
        <f t="shared" si="78"/>
        <v>0</v>
      </c>
      <c r="AJ204" s="298"/>
      <c r="AK204" s="299"/>
      <c r="AL204" s="601">
        <f t="shared" si="79"/>
        <v>0</v>
      </c>
      <c r="AM204" s="604">
        <f t="shared" si="80"/>
        <v>0</v>
      </c>
      <c r="AN204" s="306"/>
      <c r="AO204" s="307"/>
      <c r="AP204" s="298">
        <v>48659</v>
      </c>
      <c r="AQ204" s="307">
        <v>50701</v>
      </c>
      <c r="AR204" s="298">
        <v>14204</v>
      </c>
      <c r="AS204" s="307">
        <v>14767</v>
      </c>
      <c r="AT204" s="298">
        <v>53081</v>
      </c>
      <c r="AU204" s="803">
        <v>53277</v>
      </c>
      <c r="AV204" s="601">
        <f t="shared" si="81"/>
        <v>115944</v>
      </c>
      <c r="AW204" s="609">
        <f t="shared" si="82"/>
        <v>4831</v>
      </c>
      <c r="AX204" s="603">
        <f t="shared" si="83"/>
        <v>118745</v>
      </c>
      <c r="AY204" s="610">
        <f t="shared" si="84"/>
        <v>4947.708333333333</v>
      </c>
      <c r="AZ204" s="611">
        <f t="shared" si="85"/>
        <v>28810.766666666666</v>
      </c>
      <c r="BA204" s="603">
        <f t="shared" si="86"/>
        <v>29202.274999999998</v>
      </c>
    </row>
    <row r="205" spans="1:53">
      <c r="A205" s="399" t="s">
        <v>204</v>
      </c>
      <c r="B205" s="400" t="s">
        <v>413</v>
      </c>
      <c r="C205" s="400"/>
      <c r="D205" s="399">
        <v>159647</v>
      </c>
      <c r="E205" s="399">
        <v>2</v>
      </c>
      <c r="F205" s="401" t="s">
        <v>414</v>
      </c>
      <c r="G205" s="402" t="s">
        <v>414</v>
      </c>
      <c r="H205" s="298">
        <v>66739</v>
      </c>
      <c r="I205" s="299">
        <v>67969</v>
      </c>
      <c r="J205" s="298">
        <v>67368</v>
      </c>
      <c r="K205" s="299">
        <v>69219</v>
      </c>
      <c r="L205" s="298">
        <v>18309</v>
      </c>
      <c r="M205" s="754">
        <v>17543</v>
      </c>
      <c r="N205" s="298">
        <v>77925</v>
      </c>
      <c r="O205" s="754">
        <v>79602</v>
      </c>
      <c r="P205" s="601">
        <f t="shared" si="69"/>
        <v>230341</v>
      </c>
      <c r="Q205" s="602">
        <f>+P205/45</f>
        <v>5118.6888888888889</v>
      </c>
      <c r="R205" s="603">
        <f t="shared" si="71"/>
        <v>234333</v>
      </c>
      <c r="S205" s="604">
        <f>+R205/45</f>
        <v>5207.3999999999996</v>
      </c>
      <c r="T205" s="298">
        <v>7536</v>
      </c>
      <c r="U205" s="299">
        <v>10075</v>
      </c>
      <c r="V205" s="601">
        <f t="shared" si="73"/>
        <v>230341</v>
      </c>
      <c r="W205" s="605">
        <f t="shared" si="74"/>
        <v>234333</v>
      </c>
      <c r="X205" s="305"/>
      <c r="Z205" s="298"/>
      <c r="AA205" s="299"/>
      <c r="AB205" s="298"/>
      <c r="AC205" s="299"/>
      <c r="AD205" s="298"/>
      <c r="AE205" s="299"/>
      <c r="AF205" s="601">
        <f t="shared" si="75"/>
        <v>0</v>
      </c>
      <c r="AG205" s="602">
        <f t="shared" si="76"/>
        <v>0</v>
      </c>
      <c r="AH205" s="603">
        <f t="shared" si="77"/>
        <v>0</v>
      </c>
      <c r="AI205" s="603">
        <f t="shared" si="78"/>
        <v>0</v>
      </c>
      <c r="AJ205" s="298"/>
      <c r="AK205" s="299"/>
      <c r="AL205" s="601">
        <f t="shared" si="79"/>
        <v>0</v>
      </c>
      <c r="AM205" s="604">
        <f t="shared" si="80"/>
        <v>0</v>
      </c>
      <c r="AN205" s="306">
        <v>7573</v>
      </c>
      <c r="AO205" s="299">
        <v>7842</v>
      </c>
      <c r="AP205" s="298">
        <v>7241</v>
      </c>
      <c r="AQ205" s="307">
        <v>7384</v>
      </c>
      <c r="AR205" s="298">
        <v>4405</v>
      </c>
      <c r="AS205" s="307">
        <v>4350</v>
      </c>
      <c r="AT205" s="298">
        <v>12613</v>
      </c>
      <c r="AU205" s="803">
        <v>11636</v>
      </c>
      <c r="AV205" s="601">
        <f t="shared" si="81"/>
        <v>31832</v>
      </c>
      <c r="AW205" s="609">
        <f>+AV205/36</f>
        <v>884.22222222222217</v>
      </c>
      <c r="AX205" s="603">
        <f t="shared" si="83"/>
        <v>31212</v>
      </c>
      <c r="AY205" s="610">
        <f>+AX205/36</f>
        <v>867</v>
      </c>
      <c r="AZ205" s="611">
        <f t="shared" si="85"/>
        <v>6002.9111111111106</v>
      </c>
      <c r="BA205" s="603">
        <f t="shared" si="86"/>
        <v>6074.4</v>
      </c>
    </row>
    <row r="206" spans="1:53">
      <c r="A206" s="399" t="s">
        <v>204</v>
      </c>
      <c r="B206" s="400" t="s">
        <v>415</v>
      </c>
      <c r="C206" s="400"/>
      <c r="D206" s="399">
        <v>160658</v>
      </c>
      <c r="E206" s="399">
        <v>2</v>
      </c>
      <c r="F206" s="296" t="s">
        <v>52</v>
      </c>
      <c r="G206" s="297" t="s">
        <v>52</v>
      </c>
      <c r="H206" s="298"/>
      <c r="I206" s="299"/>
      <c r="J206" s="298">
        <v>180216</v>
      </c>
      <c r="K206" s="299">
        <v>183146</v>
      </c>
      <c r="L206" s="298">
        <v>25131</v>
      </c>
      <c r="M206" s="754">
        <v>25735</v>
      </c>
      <c r="N206" s="298">
        <v>200856</v>
      </c>
      <c r="O206" s="754">
        <v>201949</v>
      </c>
      <c r="P206" s="601">
        <f t="shared" si="69"/>
        <v>406203</v>
      </c>
      <c r="Q206" s="602">
        <f t="shared" si="70"/>
        <v>13540.1</v>
      </c>
      <c r="R206" s="603">
        <f t="shared" si="71"/>
        <v>410830</v>
      </c>
      <c r="S206" s="604">
        <f t="shared" si="72"/>
        <v>13694.333333333334</v>
      </c>
      <c r="T206" s="298">
        <v>1016</v>
      </c>
      <c r="U206" s="299">
        <v>992</v>
      </c>
      <c r="V206" s="601">
        <f t="shared" si="73"/>
        <v>406203</v>
      </c>
      <c r="W206" s="605">
        <f t="shared" si="74"/>
        <v>410830</v>
      </c>
      <c r="X206" s="305"/>
      <c r="Z206" s="298"/>
      <c r="AA206" s="299"/>
      <c r="AB206" s="298"/>
      <c r="AC206" s="299"/>
      <c r="AD206" s="298"/>
      <c r="AE206" s="299"/>
      <c r="AF206" s="601">
        <f t="shared" si="75"/>
        <v>0</v>
      </c>
      <c r="AG206" s="602">
        <f t="shared" si="76"/>
        <v>0</v>
      </c>
      <c r="AH206" s="603">
        <f t="shared" si="77"/>
        <v>0</v>
      </c>
      <c r="AI206" s="603">
        <f t="shared" si="78"/>
        <v>0</v>
      </c>
      <c r="AJ206" s="298"/>
      <c r="AK206" s="299"/>
      <c r="AL206" s="601">
        <f t="shared" si="79"/>
        <v>0</v>
      </c>
      <c r="AM206" s="604">
        <f t="shared" si="80"/>
        <v>0</v>
      </c>
      <c r="AN206" s="306"/>
      <c r="AO206" s="299"/>
      <c r="AP206" s="298">
        <v>11327</v>
      </c>
      <c r="AQ206" s="307">
        <v>11507</v>
      </c>
      <c r="AR206" s="298">
        <v>2372</v>
      </c>
      <c r="AS206" s="307">
        <v>2881</v>
      </c>
      <c r="AT206" s="298">
        <v>11370</v>
      </c>
      <c r="AU206" s="803">
        <v>12160</v>
      </c>
      <c r="AV206" s="601">
        <f t="shared" si="81"/>
        <v>25069</v>
      </c>
      <c r="AW206" s="609">
        <f t="shared" si="82"/>
        <v>1044.5416666666667</v>
      </c>
      <c r="AX206" s="603">
        <f t="shared" si="83"/>
        <v>26548</v>
      </c>
      <c r="AY206" s="610">
        <f t="shared" si="84"/>
        <v>1106.1666666666667</v>
      </c>
      <c r="AZ206" s="611">
        <f t="shared" si="85"/>
        <v>14584.641666666666</v>
      </c>
      <c r="BA206" s="603">
        <f t="shared" si="86"/>
        <v>14800.5</v>
      </c>
    </row>
    <row r="207" spans="1:53">
      <c r="A207" s="399" t="s">
        <v>204</v>
      </c>
      <c r="B207" s="400" t="s">
        <v>416</v>
      </c>
      <c r="C207" s="400"/>
      <c r="D207" s="399">
        <v>159939</v>
      </c>
      <c r="E207" s="399">
        <v>2</v>
      </c>
      <c r="F207" s="296" t="s">
        <v>52</v>
      </c>
      <c r="G207" s="297" t="s">
        <v>52</v>
      </c>
      <c r="H207" s="298"/>
      <c r="I207" s="299"/>
      <c r="J207" s="298">
        <v>100002</v>
      </c>
      <c r="K207" s="299">
        <v>96961</v>
      </c>
      <c r="L207" s="298">
        <v>20710</v>
      </c>
      <c r="M207" s="754">
        <v>18653</v>
      </c>
      <c r="N207" s="298">
        <v>103245</v>
      </c>
      <c r="O207" s="754">
        <v>101303</v>
      </c>
      <c r="P207" s="601">
        <f t="shared" si="69"/>
        <v>223957</v>
      </c>
      <c r="Q207" s="602">
        <f t="shared" si="70"/>
        <v>7465.2333333333336</v>
      </c>
      <c r="R207" s="603">
        <f t="shared" si="71"/>
        <v>216917</v>
      </c>
      <c r="S207" s="604">
        <f t="shared" si="72"/>
        <v>7230.5666666666666</v>
      </c>
      <c r="T207" s="298">
        <v>527</v>
      </c>
      <c r="U207" s="299">
        <v>613</v>
      </c>
      <c r="V207" s="601">
        <f t="shared" si="73"/>
        <v>223957</v>
      </c>
      <c r="W207" s="605">
        <f t="shared" si="74"/>
        <v>216917</v>
      </c>
      <c r="X207" s="305"/>
      <c r="Y207" s="403"/>
      <c r="Z207" s="298"/>
      <c r="AA207" s="299"/>
      <c r="AB207" s="298"/>
      <c r="AC207" s="299"/>
      <c r="AD207" s="298"/>
      <c r="AE207" s="299"/>
      <c r="AF207" s="601">
        <f t="shared" si="75"/>
        <v>0</v>
      </c>
      <c r="AG207" s="602">
        <f t="shared" si="76"/>
        <v>0</v>
      </c>
      <c r="AH207" s="603">
        <f t="shared" si="77"/>
        <v>0</v>
      </c>
      <c r="AI207" s="603">
        <f t="shared" si="78"/>
        <v>0</v>
      </c>
      <c r="AJ207" s="298"/>
      <c r="AK207" s="299"/>
      <c r="AL207" s="601">
        <f t="shared" si="79"/>
        <v>0</v>
      </c>
      <c r="AM207" s="604">
        <f t="shared" si="80"/>
        <v>0</v>
      </c>
      <c r="AN207" s="306"/>
      <c r="AO207" s="299"/>
      <c r="AP207" s="298">
        <v>18729</v>
      </c>
      <c r="AQ207" s="307">
        <v>18425</v>
      </c>
      <c r="AR207" s="298">
        <v>7831</v>
      </c>
      <c r="AS207" s="307">
        <v>7461</v>
      </c>
      <c r="AT207" s="298">
        <v>21210</v>
      </c>
      <c r="AU207" s="803">
        <v>18864</v>
      </c>
      <c r="AV207" s="601">
        <f t="shared" si="81"/>
        <v>47770</v>
      </c>
      <c r="AW207" s="609">
        <f t="shared" si="82"/>
        <v>1990.4166666666667</v>
      </c>
      <c r="AX207" s="603">
        <f t="shared" si="83"/>
        <v>44750</v>
      </c>
      <c r="AY207" s="610">
        <f t="shared" si="84"/>
        <v>1864.5833333333333</v>
      </c>
      <c r="AZ207" s="611">
        <f t="shared" si="85"/>
        <v>9455.65</v>
      </c>
      <c r="BA207" s="603">
        <f t="shared" si="86"/>
        <v>9095.15</v>
      </c>
    </row>
    <row r="208" spans="1:53">
      <c r="A208" s="399" t="s">
        <v>204</v>
      </c>
      <c r="B208" s="400" t="s">
        <v>417</v>
      </c>
      <c r="C208" s="400"/>
      <c r="D208" s="399">
        <v>160612</v>
      </c>
      <c r="E208" s="399">
        <v>3</v>
      </c>
      <c r="F208" s="296" t="s">
        <v>52</v>
      </c>
      <c r="G208" s="297" t="s">
        <v>52</v>
      </c>
      <c r="H208" s="298"/>
      <c r="I208" s="299"/>
      <c r="J208" s="298">
        <v>165107</v>
      </c>
      <c r="K208" s="299">
        <v>166891</v>
      </c>
      <c r="L208" s="298">
        <v>26223</v>
      </c>
      <c r="M208" s="754">
        <v>25518</v>
      </c>
      <c r="N208" s="298">
        <v>180803</v>
      </c>
      <c r="O208" s="754">
        <v>175070</v>
      </c>
      <c r="P208" s="601">
        <f t="shared" si="69"/>
        <v>372133</v>
      </c>
      <c r="Q208" s="602">
        <f t="shared" si="70"/>
        <v>12404.433333333332</v>
      </c>
      <c r="R208" s="603">
        <f t="shared" si="71"/>
        <v>367479</v>
      </c>
      <c r="S208" s="604">
        <f t="shared" si="72"/>
        <v>12249.3</v>
      </c>
      <c r="T208" s="298">
        <v>5534</v>
      </c>
      <c r="U208" s="299">
        <v>9364</v>
      </c>
      <c r="V208" s="601">
        <f t="shared" si="73"/>
        <v>372133</v>
      </c>
      <c r="W208" s="605">
        <f t="shared" si="74"/>
        <v>367479</v>
      </c>
      <c r="X208" s="305"/>
      <c r="Y208" s="403"/>
      <c r="Z208" s="298"/>
      <c r="AA208" s="299"/>
      <c r="AB208" s="298"/>
      <c r="AC208" s="299"/>
      <c r="AD208" s="298"/>
      <c r="AE208" s="299"/>
      <c r="AF208" s="601">
        <f t="shared" si="75"/>
        <v>0</v>
      </c>
      <c r="AG208" s="602">
        <f t="shared" si="76"/>
        <v>0</v>
      </c>
      <c r="AH208" s="603">
        <f t="shared" si="77"/>
        <v>0</v>
      </c>
      <c r="AI208" s="603">
        <f t="shared" si="78"/>
        <v>0</v>
      </c>
      <c r="AJ208" s="298"/>
      <c r="AK208" s="299"/>
      <c r="AL208" s="601">
        <f t="shared" si="79"/>
        <v>0</v>
      </c>
      <c r="AM208" s="604">
        <f t="shared" si="80"/>
        <v>0</v>
      </c>
      <c r="AN208" s="306"/>
      <c r="AO208" s="299"/>
      <c r="AP208" s="298">
        <v>9068</v>
      </c>
      <c r="AQ208" s="307">
        <v>9063</v>
      </c>
      <c r="AR208" s="298">
        <v>5894</v>
      </c>
      <c r="AS208" s="307">
        <v>5149</v>
      </c>
      <c r="AT208" s="298">
        <v>9160</v>
      </c>
      <c r="AU208" s="803">
        <v>8871</v>
      </c>
      <c r="AV208" s="601">
        <f t="shared" si="81"/>
        <v>24122</v>
      </c>
      <c r="AW208" s="609">
        <f t="shared" si="82"/>
        <v>1005.0833333333334</v>
      </c>
      <c r="AX208" s="603">
        <f t="shared" si="83"/>
        <v>23083</v>
      </c>
      <c r="AY208" s="610">
        <f t="shared" si="84"/>
        <v>961.79166666666663</v>
      </c>
      <c r="AZ208" s="611">
        <f t="shared" si="85"/>
        <v>13409.516666666666</v>
      </c>
      <c r="BA208" s="603">
        <f t="shared" si="86"/>
        <v>13211.091666666665</v>
      </c>
    </row>
    <row r="209" spans="1:53">
      <c r="A209" s="399" t="s">
        <v>204</v>
      </c>
      <c r="B209" s="400" t="s">
        <v>418</v>
      </c>
      <c r="C209" s="400"/>
      <c r="D209" s="399">
        <v>160621</v>
      </c>
      <c r="E209" s="399">
        <v>3</v>
      </c>
      <c r="F209" s="296" t="s">
        <v>52</v>
      </c>
      <c r="G209" s="297" t="s">
        <v>52</v>
      </c>
      <c r="H209" s="298"/>
      <c r="I209" s="299"/>
      <c r="J209" s="298">
        <v>83163</v>
      </c>
      <c r="K209" s="299">
        <v>79786</v>
      </c>
      <c r="L209" s="298">
        <v>17179</v>
      </c>
      <c r="M209" s="754">
        <v>17343</v>
      </c>
      <c r="N209" s="298">
        <v>86109</v>
      </c>
      <c r="O209" s="754">
        <v>78761</v>
      </c>
      <c r="P209" s="601">
        <f t="shared" si="69"/>
        <v>186451</v>
      </c>
      <c r="Q209" s="602">
        <f t="shared" si="70"/>
        <v>6215.0333333333338</v>
      </c>
      <c r="R209" s="603">
        <f t="shared" si="71"/>
        <v>175890</v>
      </c>
      <c r="S209" s="604">
        <f t="shared" si="72"/>
        <v>5863</v>
      </c>
      <c r="T209" s="298">
        <v>51</v>
      </c>
      <c r="U209" s="299">
        <v>219</v>
      </c>
      <c r="V209" s="601">
        <f t="shared" si="73"/>
        <v>186451</v>
      </c>
      <c r="W209" s="605">
        <f t="shared" si="74"/>
        <v>175890</v>
      </c>
      <c r="X209" s="305"/>
      <c r="Y209" s="403"/>
      <c r="Z209" s="298"/>
      <c r="AA209" s="299"/>
      <c r="AB209" s="298"/>
      <c r="AC209" s="299"/>
      <c r="AD209" s="298"/>
      <c r="AE209" s="299"/>
      <c r="AF209" s="601">
        <f t="shared" si="75"/>
        <v>0</v>
      </c>
      <c r="AG209" s="602">
        <f t="shared" si="76"/>
        <v>0</v>
      </c>
      <c r="AH209" s="603">
        <f t="shared" si="77"/>
        <v>0</v>
      </c>
      <c r="AI209" s="603">
        <f t="shared" si="78"/>
        <v>0</v>
      </c>
      <c r="AJ209" s="298"/>
      <c r="AK209" s="299"/>
      <c r="AL209" s="601">
        <f t="shared" si="79"/>
        <v>0</v>
      </c>
      <c r="AM209" s="604">
        <f t="shared" si="80"/>
        <v>0</v>
      </c>
      <c r="AN209" s="306"/>
      <c r="AO209" s="299"/>
      <c r="AP209" s="298">
        <v>16437</v>
      </c>
      <c r="AQ209" s="307">
        <v>18227</v>
      </c>
      <c r="AR209" s="298">
        <v>4796</v>
      </c>
      <c r="AS209" s="307">
        <v>5142</v>
      </c>
      <c r="AT209" s="298">
        <v>18995</v>
      </c>
      <c r="AU209" s="803">
        <v>18502</v>
      </c>
      <c r="AV209" s="601">
        <f t="shared" si="81"/>
        <v>40228</v>
      </c>
      <c r="AW209" s="609">
        <f t="shared" si="82"/>
        <v>1676.1666666666667</v>
      </c>
      <c r="AX209" s="603">
        <f t="shared" si="83"/>
        <v>41871</v>
      </c>
      <c r="AY209" s="610">
        <f t="shared" si="84"/>
        <v>1744.625</v>
      </c>
      <c r="AZ209" s="611">
        <f t="shared" si="85"/>
        <v>7891.2000000000007</v>
      </c>
      <c r="BA209" s="603">
        <f t="shared" si="86"/>
        <v>7607.625</v>
      </c>
    </row>
    <row r="210" spans="1:53">
      <c r="A210" s="399" t="s">
        <v>204</v>
      </c>
      <c r="B210" s="400" t="s">
        <v>419</v>
      </c>
      <c r="C210" s="404"/>
      <c r="D210" s="399">
        <v>159993</v>
      </c>
      <c r="E210" s="399">
        <v>3</v>
      </c>
      <c r="F210" s="296" t="s">
        <v>52</v>
      </c>
      <c r="G210" s="297" t="s">
        <v>52</v>
      </c>
      <c r="H210" s="298"/>
      <c r="I210" s="299">
        <v>2599</v>
      </c>
      <c r="J210" s="298">
        <v>83814</v>
      </c>
      <c r="K210" s="299">
        <v>76512</v>
      </c>
      <c r="L210" s="298">
        <v>19490</v>
      </c>
      <c r="M210" s="754">
        <v>25494</v>
      </c>
      <c r="N210" s="298">
        <v>88191</v>
      </c>
      <c r="O210" s="754">
        <v>86222</v>
      </c>
      <c r="P210" s="601">
        <f t="shared" si="69"/>
        <v>191495</v>
      </c>
      <c r="Q210" s="602">
        <f t="shared" si="70"/>
        <v>6383.166666666667</v>
      </c>
      <c r="R210" s="603">
        <f t="shared" si="71"/>
        <v>190827</v>
      </c>
      <c r="S210" s="604">
        <f t="shared" si="72"/>
        <v>6360.9</v>
      </c>
      <c r="T210" s="298">
        <v>7251</v>
      </c>
      <c r="U210" s="299">
        <v>8899</v>
      </c>
      <c r="V210" s="601">
        <f t="shared" si="73"/>
        <v>191495</v>
      </c>
      <c r="W210" s="605">
        <f t="shared" si="74"/>
        <v>190827</v>
      </c>
      <c r="X210" s="305"/>
      <c r="Y210" s="403"/>
      <c r="Z210" s="298"/>
      <c r="AA210" s="299"/>
      <c r="AB210" s="298"/>
      <c r="AC210" s="299"/>
      <c r="AD210" s="298"/>
      <c r="AE210" s="299"/>
      <c r="AF210" s="601">
        <f t="shared" si="75"/>
        <v>0</v>
      </c>
      <c r="AG210" s="602">
        <f t="shared" si="76"/>
        <v>0</v>
      </c>
      <c r="AH210" s="603">
        <f t="shared" si="77"/>
        <v>0</v>
      </c>
      <c r="AI210" s="603">
        <f t="shared" si="78"/>
        <v>0</v>
      </c>
      <c r="AJ210" s="298"/>
      <c r="AK210" s="299"/>
      <c r="AL210" s="601">
        <f t="shared" si="79"/>
        <v>0</v>
      </c>
      <c r="AM210" s="604">
        <f t="shared" si="80"/>
        <v>0</v>
      </c>
      <c r="AN210" s="306"/>
      <c r="AO210" s="299">
        <v>236</v>
      </c>
      <c r="AP210" s="298">
        <v>11299</v>
      </c>
      <c r="AQ210" s="307">
        <v>11816</v>
      </c>
      <c r="AR210" s="298">
        <v>5547</v>
      </c>
      <c r="AS210" s="307">
        <v>6972</v>
      </c>
      <c r="AT210" s="298">
        <v>11695</v>
      </c>
      <c r="AU210" s="803">
        <v>13227</v>
      </c>
      <c r="AV210" s="601">
        <f t="shared" si="81"/>
        <v>28541</v>
      </c>
      <c r="AW210" s="609">
        <f t="shared" si="82"/>
        <v>1189.2083333333333</v>
      </c>
      <c r="AX210" s="603">
        <f t="shared" si="83"/>
        <v>32251</v>
      </c>
      <c r="AY210" s="610">
        <f t="shared" si="84"/>
        <v>1343.7916666666667</v>
      </c>
      <c r="AZ210" s="611">
        <f t="shared" si="85"/>
        <v>7572.375</v>
      </c>
      <c r="BA210" s="603">
        <f t="shared" si="86"/>
        <v>7704.6916666666666</v>
      </c>
    </row>
    <row r="211" spans="1:53">
      <c r="A211" s="405" t="s">
        <v>204</v>
      </c>
      <c r="B211" s="400" t="s">
        <v>420</v>
      </c>
      <c r="C211" s="404"/>
      <c r="D211" s="399">
        <v>159009</v>
      </c>
      <c r="E211" s="399">
        <v>4</v>
      </c>
      <c r="F211" s="296" t="s">
        <v>52</v>
      </c>
      <c r="G211" s="297" t="s">
        <v>52</v>
      </c>
      <c r="H211" s="298"/>
      <c r="I211" s="299"/>
      <c r="J211" s="298">
        <v>57435</v>
      </c>
      <c r="K211" s="299">
        <v>57133</v>
      </c>
      <c r="L211" s="298">
        <v>14025</v>
      </c>
      <c r="M211" s="754">
        <v>15132</v>
      </c>
      <c r="N211" s="298">
        <v>60178</v>
      </c>
      <c r="O211" s="754">
        <v>61060</v>
      </c>
      <c r="P211" s="601">
        <f t="shared" si="69"/>
        <v>131638</v>
      </c>
      <c r="Q211" s="602">
        <f t="shared" si="70"/>
        <v>4387.9333333333334</v>
      </c>
      <c r="R211" s="603">
        <f t="shared" si="71"/>
        <v>133325</v>
      </c>
      <c r="S211" s="604">
        <f t="shared" si="72"/>
        <v>4444.166666666667</v>
      </c>
      <c r="T211" s="298">
        <v>108</v>
      </c>
      <c r="U211" s="299">
        <v>129</v>
      </c>
      <c r="V211" s="601">
        <f t="shared" si="73"/>
        <v>131638</v>
      </c>
      <c r="W211" s="605">
        <f t="shared" si="74"/>
        <v>133325</v>
      </c>
      <c r="X211" s="305"/>
      <c r="Y211" s="299"/>
      <c r="Z211" s="298"/>
      <c r="AA211" s="299"/>
      <c r="AB211" s="298"/>
      <c r="AC211" s="299"/>
      <c r="AD211" s="298"/>
      <c r="AE211" s="299"/>
      <c r="AF211" s="601">
        <f t="shared" si="75"/>
        <v>0</v>
      </c>
      <c r="AG211" s="602">
        <f t="shared" si="76"/>
        <v>0</v>
      </c>
      <c r="AH211" s="603">
        <f t="shared" si="77"/>
        <v>0</v>
      </c>
      <c r="AI211" s="603">
        <f t="shared" si="78"/>
        <v>0</v>
      </c>
      <c r="AJ211" s="298"/>
      <c r="AK211" s="299"/>
      <c r="AL211" s="601">
        <f t="shared" si="79"/>
        <v>0</v>
      </c>
      <c r="AM211" s="604">
        <f t="shared" si="80"/>
        <v>0</v>
      </c>
      <c r="AN211" s="306"/>
      <c r="AO211" s="307"/>
      <c r="AP211" s="298">
        <v>3960</v>
      </c>
      <c r="AQ211" s="307">
        <v>5191</v>
      </c>
      <c r="AR211" s="298">
        <v>2191</v>
      </c>
      <c r="AS211" s="307">
        <v>2586</v>
      </c>
      <c r="AT211" s="298">
        <v>4917</v>
      </c>
      <c r="AU211" s="803">
        <v>6077</v>
      </c>
      <c r="AV211" s="601">
        <f t="shared" si="81"/>
        <v>11068</v>
      </c>
      <c r="AW211" s="609">
        <f t="shared" si="82"/>
        <v>461.16666666666669</v>
      </c>
      <c r="AX211" s="603">
        <f t="shared" si="83"/>
        <v>13854</v>
      </c>
      <c r="AY211" s="610">
        <f t="shared" si="84"/>
        <v>577.25</v>
      </c>
      <c r="AZ211" s="611">
        <f t="shared" si="85"/>
        <v>4849.1000000000004</v>
      </c>
      <c r="BA211" s="603">
        <f t="shared" si="86"/>
        <v>5021.416666666667</v>
      </c>
    </row>
    <row r="212" spans="1:53">
      <c r="A212" s="405" t="s">
        <v>204</v>
      </c>
      <c r="B212" s="400" t="s">
        <v>421</v>
      </c>
      <c r="C212" s="404"/>
      <c r="D212" s="399">
        <v>159416</v>
      </c>
      <c r="E212" s="399">
        <v>4</v>
      </c>
      <c r="F212" s="296" t="s">
        <v>52</v>
      </c>
      <c r="G212" s="297" t="s">
        <v>52</v>
      </c>
      <c r="H212" s="298"/>
      <c r="I212" s="299"/>
      <c r="J212" s="298">
        <v>42112</v>
      </c>
      <c r="K212" s="299">
        <v>40140</v>
      </c>
      <c r="L212" s="298">
        <v>9599</v>
      </c>
      <c r="M212" s="754">
        <v>9056</v>
      </c>
      <c r="N212" s="298">
        <v>41695</v>
      </c>
      <c r="O212" s="754">
        <v>42238</v>
      </c>
      <c r="P212" s="601">
        <f t="shared" si="69"/>
        <v>93406</v>
      </c>
      <c r="Q212" s="602">
        <f t="shared" si="70"/>
        <v>3113.5333333333333</v>
      </c>
      <c r="R212" s="603">
        <f t="shared" si="71"/>
        <v>91434</v>
      </c>
      <c r="S212" s="604">
        <f t="shared" si="72"/>
        <v>3047.8</v>
      </c>
      <c r="T212" s="298">
        <v>5849</v>
      </c>
      <c r="U212" s="299">
        <v>7771</v>
      </c>
      <c r="V212" s="601">
        <f t="shared" si="73"/>
        <v>93406</v>
      </c>
      <c r="W212" s="605">
        <f t="shared" si="74"/>
        <v>91434</v>
      </c>
      <c r="X212" s="305"/>
      <c r="Y212" s="299"/>
      <c r="Z212" s="298"/>
      <c r="AA212" s="299"/>
      <c r="AB212" s="298"/>
      <c r="AC212" s="299"/>
      <c r="AD212" s="298"/>
      <c r="AE212" s="299"/>
      <c r="AF212" s="601">
        <f t="shared" si="75"/>
        <v>0</v>
      </c>
      <c r="AG212" s="602">
        <f t="shared" si="76"/>
        <v>0</v>
      </c>
      <c r="AH212" s="603">
        <f t="shared" si="77"/>
        <v>0</v>
      </c>
      <c r="AI212" s="603">
        <f t="shared" si="78"/>
        <v>0</v>
      </c>
      <c r="AJ212" s="298"/>
      <c r="AK212" s="299"/>
      <c r="AL212" s="601">
        <f t="shared" si="79"/>
        <v>0</v>
      </c>
      <c r="AM212" s="604">
        <f t="shared" si="80"/>
        <v>0</v>
      </c>
      <c r="AN212" s="306"/>
      <c r="AO212" s="307"/>
      <c r="AP212" s="298">
        <v>2734</v>
      </c>
      <c r="AQ212" s="307">
        <v>2679</v>
      </c>
      <c r="AR212" s="298">
        <v>1229</v>
      </c>
      <c r="AS212" s="307">
        <v>1286</v>
      </c>
      <c r="AT212" s="298">
        <v>2783</v>
      </c>
      <c r="AU212" s="803">
        <v>2752</v>
      </c>
      <c r="AV212" s="601">
        <f t="shared" si="81"/>
        <v>6746</v>
      </c>
      <c r="AW212" s="609">
        <f t="shared" si="82"/>
        <v>281.08333333333331</v>
      </c>
      <c r="AX212" s="603">
        <f t="shared" si="83"/>
        <v>6717</v>
      </c>
      <c r="AY212" s="610">
        <f t="shared" si="84"/>
        <v>279.875</v>
      </c>
      <c r="AZ212" s="611">
        <f t="shared" si="85"/>
        <v>3394.6166666666668</v>
      </c>
      <c r="BA212" s="603">
        <f t="shared" si="86"/>
        <v>3327.6750000000002</v>
      </c>
    </row>
    <row r="213" spans="1:53">
      <c r="A213" s="405" t="s">
        <v>204</v>
      </c>
      <c r="B213" s="400" t="s">
        <v>422</v>
      </c>
      <c r="C213" s="404"/>
      <c r="D213" s="399">
        <v>159717</v>
      </c>
      <c r="E213" s="399">
        <v>4</v>
      </c>
      <c r="F213" s="296" t="s">
        <v>52</v>
      </c>
      <c r="G213" s="297" t="s">
        <v>52</v>
      </c>
      <c r="H213" s="298"/>
      <c r="I213" s="299"/>
      <c r="J213" s="298">
        <v>96649</v>
      </c>
      <c r="K213" s="299">
        <v>99274</v>
      </c>
      <c r="L213" s="298">
        <v>12455</v>
      </c>
      <c r="M213" s="754">
        <v>13537</v>
      </c>
      <c r="N213" s="298">
        <v>105813</v>
      </c>
      <c r="O213" s="754">
        <v>105150</v>
      </c>
      <c r="P213" s="601">
        <f t="shared" si="69"/>
        <v>214917</v>
      </c>
      <c r="Q213" s="602">
        <f t="shared" si="70"/>
        <v>7163.9</v>
      </c>
      <c r="R213" s="603">
        <f t="shared" si="71"/>
        <v>217961</v>
      </c>
      <c r="S213" s="604">
        <f t="shared" si="72"/>
        <v>7265.3666666666668</v>
      </c>
      <c r="T213" s="298">
        <v>4559</v>
      </c>
      <c r="U213" s="299">
        <v>5793</v>
      </c>
      <c r="V213" s="601">
        <f t="shared" si="73"/>
        <v>214917</v>
      </c>
      <c r="W213" s="605">
        <f t="shared" si="74"/>
        <v>217961</v>
      </c>
      <c r="X213" s="305"/>
      <c r="Y213" s="299"/>
      <c r="Z213" s="298"/>
      <c r="AA213" s="299"/>
      <c r="AB213" s="298"/>
      <c r="AC213" s="299"/>
      <c r="AD213" s="298"/>
      <c r="AE213" s="299"/>
      <c r="AF213" s="601">
        <f t="shared" si="75"/>
        <v>0</v>
      </c>
      <c r="AG213" s="602">
        <f t="shared" si="76"/>
        <v>0</v>
      </c>
      <c r="AH213" s="603">
        <f t="shared" si="77"/>
        <v>0</v>
      </c>
      <c r="AI213" s="603">
        <f t="shared" si="78"/>
        <v>0</v>
      </c>
      <c r="AJ213" s="298"/>
      <c r="AK213" s="299"/>
      <c r="AL213" s="601">
        <f t="shared" si="79"/>
        <v>0</v>
      </c>
      <c r="AM213" s="604">
        <f t="shared" si="80"/>
        <v>0</v>
      </c>
      <c r="AN213" s="306"/>
      <c r="AO213" s="307"/>
      <c r="AP213" s="298">
        <v>6449</v>
      </c>
      <c r="AQ213" s="307">
        <v>6001</v>
      </c>
      <c r="AR213" s="298">
        <v>2726</v>
      </c>
      <c r="AS213" s="307">
        <v>2120</v>
      </c>
      <c r="AT213" s="298">
        <v>6406</v>
      </c>
      <c r="AU213" s="803">
        <v>6074</v>
      </c>
      <c r="AV213" s="601">
        <f t="shared" si="81"/>
        <v>15581</v>
      </c>
      <c r="AW213" s="609">
        <f t="shared" si="82"/>
        <v>649.20833333333337</v>
      </c>
      <c r="AX213" s="603">
        <f t="shared" si="83"/>
        <v>14195</v>
      </c>
      <c r="AY213" s="610">
        <f t="shared" si="84"/>
        <v>591.45833333333337</v>
      </c>
      <c r="AZ213" s="611">
        <f t="shared" si="85"/>
        <v>7813.1083333333327</v>
      </c>
      <c r="BA213" s="603">
        <f t="shared" si="86"/>
        <v>7856.8249999999998</v>
      </c>
    </row>
    <row r="214" spans="1:53">
      <c r="A214" s="405" t="s">
        <v>204</v>
      </c>
      <c r="B214" s="400" t="s">
        <v>423</v>
      </c>
      <c r="C214" s="404"/>
      <c r="D214" s="399">
        <v>159966</v>
      </c>
      <c r="E214" s="399">
        <v>4</v>
      </c>
      <c r="F214" s="296" t="s">
        <v>52</v>
      </c>
      <c r="G214" s="297" t="s">
        <v>52</v>
      </c>
      <c r="H214" s="298"/>
      <c r="I214" s="299"/>
      <c r="J214" s="298">
        <v>79754</v>
      </c>
      <c r="K214" s="299">
        <v>77075</v>
      </c>
      <c r="L214" s="298">
        <v>17327</v>
      </c>
      <c r="M214" s="754">
        <v>16318</v>
      </c>
      <c r="N214" s="298">
        <v>84180</v>
      </c>
      <c r="O214" s="754">
        <v>81554</v>
      </c>
      <c r="P214" s="601">
        <f t="shared" si="69"/>
        <v>181261</v>
      </c>
      <c r="Q214" s="602">
        <f t="shared" si="70"/>
        <v>6042.0333333333338</v>
      </c>
      <c r="R214" s="603">
        <f t="shared" si="71"/>
        <v>174947</v>
      </c>
      <c r="S214" s="604">
        <f t="shared" si="72"/>
        <v>5831.5666666666666</v>
      </c>
      <c r="T214" s="298">
        <v>1376</v>
      </c>
      <c r="U214" s="299">
        <v>1011</v>
      </c>
      <c r="V214" s="601">
        <f t="shared" si="73"/>
        <v>181261</v>
      </c>
      <c r="W214" s="605">
        <f t="shared" si="74"/>
        <v>174947</v>
      </c>
      <c r="X214" s="305"/>
      <c r="Y214" s="299"/>
      <c r="Z214" s="298"/>
      <c r="AA214" s="299"/>
      <c r="AB214" s="298"/>
      <c r="AC214" s="299"/>
      <c r="AD214" s="298"/>
      <c r="AE214" s="299"/>
      <c r="AF214" s="601">
        <f t="shared" si="75"/>
        <v>0</v>
      </c>
      <c r="AG214" s="602">
        <f t="shared" si="76"/>
        <v>0</v>
      </c>
      <c r="AH214" s="603">
        <f t="shared" si="77"/>
        <v>0</v>
      </c>
      <c r="AI214" s="603">
        <f t="shared" si="78"/>
        <v>0</v>
      </c>
      <c r="AJ214" s="298"/>
      <c r="AK214" s="299"/>
      <c r="AL214" s="601">
        <f t="shared" si="79"/>
        <v>0</v>
      </c>
      <c r="AM214" s="604">
        <f t="shared" si="80"/>
        <v>0</v>
      </c>
      <c r="AN214" s="306"/>
      <c r="AO214" s="307"/>
      <c r="AP214" s="298">
        <v>4040</v>
      </c>
      <c r="AQ214" s="307">
        <v>4125</v>
      </c>
      <c r="AR214" s="298">
        <v>3371</v>
      </c>
      <c r="AS214" s="307">
        <v>3710</v>
      </c>
      <c r="AT214" s="298">
        <v>4199</v>
      </c>
      <c r="AU214" s="803">
        <v>4002</v>
      </c>
      <c r="AV214" s="601">
        <f t="shared" si="81"/>
        <v>11610</v>
      </c>
      <c r="AW214" s="609">
        <f t="shared" si="82"/>
        <v>483.75</v>
      </c>
      <c r="AX214" s="603">
        <f t="shared" si="83"/>
        <v>11837</v>
      </c>
      <c r="AY214" s="610">
        <f t="shared" si="84"/>
        <v>493.20833333333331</v>
      </c>
      <c r="AZ214" s="611">
        <f t="shared" si="85"/>
        <v>6525.7833333333338</v>
      </c>
      <c r="BA214" s="603">
        <f t="shared" si="86"/>
        <v>6324.7749999999996</v>
      </c>
    </row>
    <row r="215" spans="1:53">
      <c r="A215" s="405" t="s">
        <v>204</v>
      </c>
      <c r="B215" s="400" t="s">
        <v>424</v>
      </c>
      <c r="C215" s="404"/>
      <c r="D215" s="399">
        <v>160038</v>
      </c>
      <c r="E215" s="399">
        <v>4</v>
      </c>
      <c r="F215" s="296" t="s">
        <v>52</v>
      </c>
      <c r="G215" s="297" t="s">
        <v>52</v>
      </c>
      <c r="H215" s="298"/>
      <c r="I215" s="299"/>
      <c r="J215" s="298">
        <v>95721</v>
      </c>
      <c r="K215" s="299">
        <v>93649</v>
      </c>
      <c r="L215" s="298">
        <v>22829</v>
      </c>
      <c r="M215" s="754">
        <v>22572</v>
      </c>
      <c r="N215" s="298">
        <v>100213</v>
      </c>
      <c r="O215" s="754">
        <v>99684</v>
      </c>
      <c r="P215" s="601">
        <f t="shared" si="69"/>
        <v>218763</v>
      </c>
      <c r="Q215" s="602">
        <f t="shared" si="70"/>
        <v>7292.1</v>
      </c>
      <c r="R215" s="603">
        <f t="shared" si="71"/>
        <v>215905</v>
      </c>
      <c r="S215" s="604">
        <f t="shared" si="72"/>
        <v>7196.833333333333</v>
      </c>
      <c r="T215" s="298">
        <v>5110</v>
      </c>
      <c r="U215" s="299">
        <v>5488</v>
      </c>
      <c r="V215" s="601">
        <f t="shared" si="73"/>
        <v>218763</v>
      </c>
      <c r="W215" s="605">
        <f t="shared" si="74"/>
        <v>215905</v>
      </c>
      <c r="X215" s="305"/>
      <c r="Y215" s="299"/>
      <c r="Z215" s="298"/>
      <c r="AA215" s="299"/>
      <c r="AB215" s="298"/>
      <c r="AC215" s="299"/>
      <c r="AD215" s="298"/>
      <c r="AE215" s="299"/>
      <c r="AF215" s="601">
        <f t="shared" si="75"/>
        <v>0</v>
      </c>
      <c r="AG215" s="602">
        <f t="shared" si="76"/>
        <v>0</v>
      </c>
      <c r="AH215" s="603">
        <f t="shared" si="77"/>
        <v>0</v>
      </c>
      <c r="AI215" s="603">
        <f t="shared" si="78"/>
        <v>0</v>
      </c>
      <c r="AJ215" s="298"/>
      <c r="AK215" s="299"/>
      <c r="AL215" s="601">
        <f t="shared" si="79"/>
        <v>0</v>
      </c>
      <c r="AM215" s="604">
        <f t="shared" si="80"/>
        <v>0</v>
      </c>
      <c r="AN215" s="306"/>
      <c r="AO215" s="307"/>
      <c r="AP215" s="298">
        <v>6527</v>
      </c>
      <c r="AQ215" s="307">
        <v>6802</v>
      </c>
      <c r="AR215" s="298">
        <v>4520</v>
      </c>
      <c r="AS215" s="307">
        <v>4515</v>
      </c>
      <c r="AT215" s="298">
        <v>7007</v>
      </c>
      <c r="AU215" s="803">
        <v>6791</v>
      </c>
      <c r="AV215" s="601">
        <f t="shared" si="81"/>
        <v>18054</v>
      </c>
      <c r="AW215" s="609">
        <f t="shared" si="82"/>
        <v>752.25</v>
      </c>
      <c r="AX215" s="603">
        <f t="shared" si="83"/>
        <v>18108</v>
      </c>
      <c r="AY215" s="610">
        <f t="shared" si="84"/>
        <v>754.5</v>
      </c>
      <c r="AZ215" s="611">
        <f t="shared" si="85"/>
        <v>8044.35</v>
      </c>
      <c r="BA215" s="603">
        <f t="shared" si="86"/>
        <v>7951.333333333333</v>
      </c>
    </row>
    <row r="216" spans="1:53">
      <c r="A216" s="405" t="s">
        <v>204</v>
      </c>
      <c r="B216" s="406" t="s">
        <v>425</v>
      </c>
      <c r="C216" s="404"/>
      <c r="D216" s="399">
        <v>160630</v>
      </c>
      <c r="E216" s="399">
        <v>4</v>
      </c>
      <c r="F216" s="296" t="s">
        <v>52</v>
      </c>
      <c r="G216" s="297" t="s">
        <v>52</v>
      </c>
      <c r="H216" s="298"/>
      <c r="I216" s="299"/>
      <c r="J216" s="298">
        <v>33042</v>
      </c>
      <c r="K216" s="299">
        <v>33100</v>
      </c>
      <c r="L216" s="298">
        <v>8851</v>
      </c>
      <c r="M216" s="754">
        <v>5563</v>
      </c>
      <c r="N216" s="298">
        <v>33354</v>
      </c>
      <c r="O216" s="754">
        <v>38090</v>
      </c>
      <c r="P216" s="601">
        <f t="shared" si="69"/>
        <v>75247</v>
      </c>
      <c r="Q216" s="602">
        <f t="shared" si="70"/>
        <v>2508.2333333333331</v>
      </c>
      <c r="R216" s="603">
        <f t="shared" si="71"/>
        <v>76753</v>
      </c>
      <c r="S216" s="604">
        <f t="shared" si="72"/>
        <v>2558.4333333333334</v>
      </c>
      <c r="T216" s="298">
        <v>192</v>
      </c>
      <c r="U216" s="299">
        <v>1353</v>
      </c>
      <c r="V216" s="601">
        <f t="shared" si="73"/>
        <v>75247</v>
      </c>
      <c r="W216" s="605">
        <f t="shared" si="74"/>
        <v>76753</v>
      </c>
      <c r="X216" s="305"/>
      <c r="Y216" s="299"/>
      <c r="Z216" s="298"/>
      <c r="AA216" s="299"/>
      <c r="AB216" s="298"/>
      <c r="AC216" s="299"/>
      <c r="AD216" s="298"/>
      <c r="AE216" s="299"/>
      <c r="AF216" s="601">
        <f t="shared" si="75"/>
        <v>0</v>
      </c>
      <c r="AG216" s="602">
        <f t="shared" si="76"/>
        <v>0</v>
      </c>
      <c r="AH216" s="603">
        <f t="shared" si="77"/>
        <v>0</v>
      </c>
      <c r="AI216" s="603">
        <f t="shared" si="78"/>
        <v>0</v>
      </c>
      <c r="AJ216" s="298"/>
      <c r="AK216" s="299"/>
      <c r="AL216" s="601">
        <f t="shared" si="79"/>
        <v>0</v>
      </c>
      <c r="AM216" s="604">
        <f t="shared" si="80"/>
        <v>0</v>
      </c>
      <c r="AN216" s="306"/>
      <c r="AO216" s="307"/>
      <c r="AP216" s="298">
        <v>3990</v>
      </c>
      <c r="AQ216" s="307">
        <v>4421</v>
      </c>
      <c r="AR216" s="298">
        <v>1061</v>
      </c>
      <c r="AS216" s="307">
        <v>1125</v>
      </c>
      <c r="AT216" s="298">
        <v>4482</v>
      </c>
      <c r="AU216" s="803">
        <v>388</v>
      </c>
      <c r="AV216" s="601">
        <f t="shared" si="81"/>
        <v>9533</v>
      </c>
      <c r="AW216" s="609">
        <f t="shared" si="82"/>
        <v>397.20833333333331</v>
      </c>
      <c r="AX216" s="603">
        <f t="shared" si="83"/>
        <v>5934</v>
      </c>
      <c r="AY216" s="610">
        <f t="shared" si="84"/>
        <v>247.25</v>
      </c>
      <c r="AZ216" s="611">
        <f t="shared" si="85"/>
        <v>2905.4416666666666</v>
      </c>
      <c r="BA216" s="603">
        <f t="shared" si="86"/>
        <v>2805.6833333333334</v>
      </c>
    </row>
    <row r="217" spans="1:53">
      <c r="A217" s="405" t="s">
        <v>204</v>
      </c>
      <c r="B217" s="406" t="s">
        <v>426</v>
      </c>
      <c r="C217" s="421" t="s">
        <v>451</v>
      </c>
      <c r="D217" s="399">
        <v>159382</v>
      </c>
      <c r="E217" s="422">
        <v>6</v>
      </c>
      <c r="F217" s="296" t="s">
        <v>52</v>
      </c>
      <c r="G217" s="297" t="s">
        <v>52</v>
      </c>
      <c r="H217" s="298"/>
      <c r="I217" s="299"/>
      <c r="J217" s="298">
        <v>24647</v>
      </c>
      <c r="K217" s="299">
        <v>24708</v>
      </c>
      <c r="L217" s="298">
        <v>5191</v>
      </c>
      <c r="M217" s="754">
        <v>5137</v>
      </c>
      <c r="N217" s="298">
        <v>26666</v>
      </c>
      <c r="O217" s="754">
        <v>26009</v>
      </c>
      <c r="P217" s="601">
        <f t="shared" si="69"/>
        <v>56504</v>
      </c>
      <c r="Q217" s="602">
        <f t="shared" si="70"/>
        <v>1883.4666666666667</v>
      </c>
      <c r="R217" s="603">
        <f t="shared" si="71"/>
        <v>55854</v>
      </c>
      <c r="S217" s="604">
        <f t="shared" si="72"/>
        <v>1861.8</v>
      </c>
      <c r="T217" s="298">
        <v>2502</v>
      </c>
      <c r="U217" s="299">
        <v>2930</v>
      </c>
      <c r="V217" s="601">
        <f t="shared" si="73"/>
        <v>56504</v>
      </c>
      <c r="W217" s="605">
        <f t="shared" si="74"/>
        <v>55854</v>
      </c>
      <c r="X217" s="305"/>
      <c r="Y217" s="299"/>
      <c r="Z217" s="298"/>
      <c r="AA217" s="299"/>
      <c r="AB217" s="298"/>
      <c r="AC217" s="299"/>
      <c r="AD217" s="298"/>
      <c r="AE217" s="299"/>
      <c r="AF217" s="601">
        <f t="shared" si="75"/>
        <v>0</v>
      </c>
      <c r="AG217" s="602">
        <f t="shared" si="76"/>
        <v>0</v>
      </c>
      <c r="AH217" s="603">
        <f t="shared" si="77"/>
        <v>0</v>
      </c>
      <c r="AI217" s="603">
        <f t="shared" si="78"/>
        <v>0</v>
      </c>
      <c r="AJ217" s="298"/>
      <c r="AK217" s="299"/>
      <c r="AL217" s="601">
        <f t="shared" si="79"/>
        <v>0</v>
      </c>
      <c r="AM217" s="604">
        <f t="shared" si="80"/>
        <v>0</v>
      </c>
      <c r="AN217" s="306"/>
      <c r="AO217" s="307"/>
      <c r="AP217" s="298"/>
      <c r="AQ217" s="307"/>
      <c r="AR217" s="298"/>
      <c r="AS217" s="307"/>
      <c r="AT217" s="298"/>
      <c r="AU217" s="307"/>
      <c r="AV217" s="601">
        <f t="shared" si="81"/>
        <v>0</v>
      </c>
      <c r="AW217" s="609">
        <f t="shared" si="82"/>
        <v>0</v>
      </c>
      <c r="AX217" s="603">
        <f t="shared" si="83"/>
        <v>0</v>
      </c>
      <c r="AY217" s="610">
        <f t="shared" si="84"/>
        <v>0</v>
      </c>
      <c r="AZ217" s="611">
        <f t="shared" si="85"/>
        <v>1883.4666666666667</v>
      </c>
      <c r="BA217" s="603">
        <f t="shared" si="86"/>
        <v>1861.8</v>
      </c>
    </row>
    <row r="218" spans="1:53">
      <c r="A218" s="405" t="s">
        <v>204</v>
      </c>
      <c r="B218" s="407" t="s">
        <v>427</v>
      </c>
      <c r="C218" s="404"/>
      <c r="D218" s="399">
        <v>437103</v>
      </c>
      <c r="E218" s="408">
        <v>8</v>
      </c>
      <c r="F218" s="296" t="s">
        <v>52</v>
      </c>
      <c r="G218" s="297" t="s">
        <v>52</v>
      </c>
      <c r="H218" s="298"/>
      <c r="I218" s="299"/>
      <c r="J218" s="298">
        <v>79050</v>
      </c>
      <c r="K218" s="299">
        <v>77210</v>
      </c>
      <c r="L218" s="298">
        <v>3674</v>
      </c>
      <c r="M218" s="754">
        <v>11789</v>
      </c>
      <c r="N218" s="298">
        <v>80608</v>
      </c>
      <c r="O218" s="754">
        <v>81813</v>
      </c>
      <c r="P218" s="601">
        <f t="shared" si="69"/>
        <v>163332</v>
      </c>
      <c r="Q218" s="602">
        <f t="shared" si="70"/>
        <v>5444.4</v>
      </c>
      <c r="R218" s="603">
        <f t="shared" si="71"/>
        <v>170812</v>
      </c>
      <c r="S218" s="604">
        <f t="shared" si="72"/>
        <v>5693.7333333333336</v>
      </c>
      <c r="T218" s="298">
        <v>1938</v>
      </c>
      <c r="U218" s="299">
        <v>2302</v>
      </c>
      <c r="V218" s="601">
        <f t="shared" si="73"/>
        <v>163332</v>
      </c>
      <c r="W218" s="605">
        <f t="shared" si="74"/>
        <v>170812</v>
      </c>
      <c r="X218" s="305"/>
      <c r="Y218" s="299"/>
      <c r="Z218" s="298"/>
      <c r="AA218" s="299"/>
      <c r="AB218" s="298"/>
      <c r="AC218" s="299"/>
      <c r="AD218" s="298"/>
      <c r="AE218" s="299"/>
      <c r="AF218" s="601">
        <f t="shared" si="75"/>
        <v>0</v>
      </c>
      <c r="AG218" s="602">
        <f t="shared" si="76"/>
        <v>0</v>
      </c>
      <c r="AH218" s="603">
        <f t="shared" si="77"/>
        <v>0</v>
      </c>
      <c r="AI218" s="603">
        <f t="shared" si="78"/>
        <v>0</v>
      </c>
      <c r="AJ218" s="298"/>
      <c r="AK218" s="299"/>
      <c r="AL218" s="601">
        <f t="shared" si="79"/>
        <v>0</v>
      </c>
      <c r="AM218" s="604">
        <f t="shared" si="80"/>
        <v>0</v>
      </c>
      <c r="AN218" s="306"/>
      <c r="AO218" s="307"/>
      <c r="AP218" s="298"/>
      <c r="AQ218" s="307"/>
      <c r="AR218" s="298"/>
      <c r="AS218" s="307"/>
      <c r="AT218" s="298"/>
      <c r="AU218" s="307"/>
      <c r="AV218" s="601">
        <f t="shared" si="81"/>
        <v>0</v>
      </c>
      <c r="AW218" s="609">
        <f t="shared" si="82"/>
        <v>0</v>
      </c>
      <c r="AX218" s="603">
        <f t="shared" si="83"/>
        <v>0</v>
      </c>
      <c r="AY218" s="610">
        <f t="shared" si="84"/>
        <v>0</v>
      </c>
      <c r="AZ218" s="611">
        <f t="shared" si="85"/>
        <v>5444.4</v>
      </c>
      <c r="BA218" s="603">
        <f t="shared" si="86"/>
        <v>5693.7333333333336</v>
      </c>
    </row>
    <row r="219" spans="1:53">
      <c r="A219" s="405" t="s">
        <v>204</v>
      </c>
      <c r="B219" s="406" t="s">
        <v>428</v>
      </c>
      <c r="C219" s="404"/>
      <c r="D219" s="399">
        <v>158662</v>
      </c>
      <c r="E219" s="399">
        <v>8</v>
      </c>
      <c r="F219" s="296" t="s">
        <v>52</v>
      </c>
      <c r="G219" s="297" t="s">
        <v>52</v>
      </c>
      <c r="H219" s="298"/>
      <c r="I219" s="299"/>
      <c r="J219" s="298">
        <v>181166</v>
      </c>
      <c r="K219" s="299">
        <v>186202</v>
      </c>
      <c r="L219" s="298">
        <v>41163</v>
      </c>
      <c r="M219" s="754">
        <v>42309</v>
      </c>
      <c r="N219" s="298">
        <v>187861</v>
      </c>
      <c r="O219" s="754">
        <v>200159</v>
      </c>
      <c r="P219" s="601">
        <f t="shared" si="69"/>
        <v>410190</v>
      </c>
      <c r="Q219" s="602">
        <f t="shared" si="70"/>
        <v>13673</v>
      </c>
      <c r="R219" s="603">
        <f t="shared" si="71"/>
        <v>428670</v>
      </c>
      <c r="S219" s="604">
        <f t="shared" si="72"/>
        <v>14289</v>
      </c>
      <c r="T219" s="298">
        <v>1392</v>
      </c>
      <c r="U219" s="299">
        <v>1393</v>
      </c>
      <c r="V219" s="601">
        <f t="shared" si="73"/>
        <v>410190</v>
      </c>
      <c r="W219" s="605">
        <f t="shared" si="74"/>
        <v>428670</v>
      </c>
      <c r="X219" s="305"/>
      <c r="Y219" s="299"/>
      <c r="Z219" s="298"/>
      <c r="AA219" s="299"/>
      <c r="AB219" s="298"/>
      <c r="AC219" s="299"/>
      <c r="AD219" s="298"/>
      <c r="AE219" s="299"/>
      <c r="AF219" s="601">
        <f t="shared" si="75"/>
        <v>0</v>
      </c>
      <c r="AG219" s="602">
        <f t="shared" si="76"/>
        <v>0</v>
      </c>
      <c r="AH219" s="603">
        <f t="shared" si="77"/>
        <v>0</v>
      </c>
      <c r="AI219" s="603">
        <f t="shared" si="78"/>
        <v>0</v>
      </c>
      <c r="AJ219" s="298"/>
      <c r="AK219" s="299"/>
      <c r="AL219" s="601">
        <f t="shared" si="79"/>
        <v>0</v>
      </c>
      <c r="AM219" s="604">
        <f t="shared" si="80"/>
        <v>0</v>
      </c>
      <c r="AN219" s="306"/>
      <c r="AO219" s="307"/>
      <c r="AP219" s="298"/>
      <c r="AQ219" s="307"/>
      <c r="AR219" s="298"/>
      <c r="AS219" s="307"/>
      <c r="AT219" s="298"/>
      <c r="AU219" s="307"/>
      <c r="AV219" s="601">
        <f t="shared" si="81"/>
        <v>0</v>
      </c>
      <c r="AW219" s="609">
        <f t="shared" si="82"/>
        <v>0</v>
      </c>
      <c r="AX219" s="603">
        <f t="shared" si="83"/>
        <v>0</v>
      </c>
      <c r="AY219" s="610">
        <f t="shared" si="84"/>
        <v>0</v>
      </c>
      <c r="AZ219" s="611">
        <f t="shared" si="85"/>
        <v>13673</v>
      </c>
      <c r="BA219" s="603">
        <f t="shared" si="86"/>
        <v>14289</v>
      </c>
    </row>
    <row r="220" spans="1:53">
      <c r="A220" s="405" t="s">
        <v>204</v>
      </c>
      <c r="B220" s="406" t="s">
        <v>429</v>
      </c>
      <c r="C220" s="404" t="s">
        <v>462</v>
      </c>
      <c r="D220" s="399">
        <v>158431</v>
      </c>
      <c r="E220" s="399">
        <v>9</v>
      </c>
      <c r="F220" s="296" t="s">
        <v>52</v>
      </c>
      <c r="G220" s="297" t="s">
        <v>52</v>
      </c>
      <c r="H220" s="298"/>
      <c r="I220" s="299"/>
      <c r="J220" s="298">
        <v>56719</v>
      </c>
      <c r="K220" s="299">
        <v>68306</v>
      </c>
      <c r="L220" s="298">
        <v>14585</v>
      </c>
      <c r="M220" s="754">
        <v>17609</v>
      </c>
      <c r="N220" s="298">
        <v>68692</v>
      </c>
      <c r="O220" s="754">
        <v>74088</v>
      </c>
      <c r="P220" s="601">
        <f t="shared" si="69"/>
        <v>139996</v>
      </c>
      <c r="Q220" s="602">
        <f t="shared" si="70"/>
        <v>4666.5333333333338</v>
      </c>
      <c r="R220" s="603">
        <f t="shared" si="71"/>
        <v>160003</v>
      </c>
      <c r="S220" s="604">
        <f t="shared" si="72"/>
        <v>5333.4333333333334</v>
      </c>
      <c r="T220" s="298">
        <v>3945</v>
      </c>
      <c r="U220" s="299">
        <v>2967</v>
      </c>
      <c r="V220" s="601">
        <f t="shared" si="73"/>
        <v>139996</v>
      </c>
      <c r="W220" s="605">
        <f t="shared" si="74"/>
        <v>160003</v>
      </c>
      <c r="X220" s="305"/>
      <c r="Y220" s="299"/>
      <c r="Z220" s="298"/>
      <c r="AA220" s="299"/>
      <c r="AB220" s="298"/>
      <c r="AC220" s="299"/>
      <c r="AD220" s="298"/>
      <c r="AE220" s="299"/>
      <c r="AF220" s="601">
        <f t="shared" si="75"/>
        <v>0</v>
      </c>
      <c r="AG220" s="602">
        <f t="shared" si="76"/>
        <v>0</v>
      </c>
      <c r="AH220" s="603">
        <f t="shared" si="77"/>
        <v>0</v>
      </c>
      <c r="AI220" s="603">
        <f t="shared" si="78"/>
        <v>0</v>
      </c>
      <c r="AJ220" s="298"/>
      <c r="AK220" s="299"/>
      <c r="AL220" s="601">
        <f t="shared" si="79"/>
        <v>0</v>
      </c>
      <c r="AM220" s="604">
        <f t="shared" si="80"/>
        <v>0</v>
      </c>
      <c r="AN220" s="306"/>
      <c r="AO220" s="307"/>
      <c r="AP220" s="298"/>
      <c r="AQ220" s="307"/>
      <c r="AR220" s="298"/>
      <c r="AS220" s="307"/>
      <c r="AT220" s="298"/>
      <c r="AU220" s="307"/>
      <c r="AV220" s="601">
        <f t="shared" si="81"/>
        <v>0</v>
      </c>
      <c r="AW220" s="609">
        <f t="shared" si="82"/>
        <v>0</v>
      </c>
      <c r="AX220" s="603">
        <f t="shared" si="83"/>
        <v>0</v>
      </c>
      <c r="AY220" s="610">
        <f t="shared" si="84"/>
        <v>0</v>
      </c>
      <c r="AZ220" s="611">
        <f t="shared" si="85"/>
        <v>4666.5333333333338</v>
      </c>
      <c r="BA220" s="603">
        <f t="shared" si="86"/>
        <v>5333.4333333333334</v>
      </c>
    </row>
    <row r="221" spans="1:53">
      <c r="A221" s="405" t="s">
        <v>204</v>
      </c>
      <c r="B221" s="400" t="s">
        <v>430</v>
      </c>
      <c r="C221" s="404"/>
      <c r="D221" s="399">
        <v>159407</v>
      </c>
      <c r="E221" s="399">
        <v>9</v>
      </c>
      <c r="F221" s="296" t="s">
        <v>52</v>
      </c>
      <c r="G221" s="297" t="s">
        <v>52</v>
      </c>
      <c r="H221" s="298"/>
      <c r="I221" s="299"/>
      <c r="J221" s="298">
        <v>30491</v>
      </c>
      <c r="K221" s="299">
        <v>29837</v>
      </c>
      <c r="L221" s="298">
        <v>5031</v>
      </c>
      <c r="M221" s="754">
        <v>4759</v>
      </c>
      <c r="N221" s="298">
        <v>31718</v>
      </c>
      <c r="O221" s="754">
        <v>28751</v>
      </c>
      <c r="P221" s="601">
        <f t="shared" si="69"/>
        <v>67240</v>
      </c>
      <c r="Q221" s="602">
        <f t="shared" si="70"/>
        <v>2241.3333333333335</v>
      </c>
      <c r="R221" s="603">
        <f t="shared" si="71"/>
        <v>63347</v>
      </c>
      <c r="S221" s="604">
        <f t="shared" si="72"/>
        <v>2111.5666666666666</v>
      </c>
      <c r="T221" s="298">
        <v>3776</v>
      </c>
      <c r="U221" s="299">
        <v>3237</v>
      </c>
      <c r="V221" s="601">
        <f t="shared" si="73"/>
        <v>67240</v>
      </c>
      <c r="W221" s="605">
        <f t="shared" si="74"/>
        <v>63347</v>
      </c>
      <c r="X221" s="305"/>
      <c r="Y221" s="299"/>
      <c r="Z221" s="298"/>
      <c r="AA221" s="299"/>
      <c r="AB221" s="298"/>
      <c r="AC221" s="299"/>
      <c r="AD221" s="298"/>
      <c r="AE221" s="299"/>
      <c r="AF221" s="601">
        <f t="shared" si="75"/>
        <v>0</v>
      </c>
      <c r="AG221" s="602">
        <f t="shared" si="76"/>
        <v>0</v>
      </c>
      <c r="AH221" s="603">
        <f t="shared" si="77"/>
        <v>0</v>
      </c>
      <c r="AI221" s="603">
        <f t="shared" si="78"/>
        <v>0</v>
      </c>
      <c r="AJ221" s="298"/>
      <c r="AK221" s="299"/>
      <c r="AL221" s="601">
        <f t="shared" si="79"/>
        <v>0</v>
      </c>
      <c r="AM221" s="604">
        <f t="shared" si="80"/>
        <v>0</v>
      </c>
      <c r="AN221" s="306"/>
      <c r="AO221" s="307"/>
      <c r="AP221" s="298"/>
      <c r="AQ221" s="307"/>
      <c r="AR221" s="298"/>
      <c r="AS221" s="307"/>
      <c r="AT221" s="298"/>
      <c r="AU221" s="307"/>
      <c r="AV221" s="601">
        <f t="shared" si="81"/>
        <v>0</v>
      </c>
      <c r="AW221" s="609">
        <f t="shared" si="82"/>
        <v>0</v>
      </c>
      <c r="AX221" s="603">
        <f t="shared" si="83"/>
        <v>0</v>
      </c>
      <c r="AY221" s="610">
        <f t="shared" si="84"/>
        <v>0</v>
      </c>
      <c r="AZ221" s="611">
        <f t="shared" si="85"/>
        <v>2241.3333333333335</v>
      </c>
      <c r="BA221" s="603">
        <f t="shared" si="86"/>
        <v>2111.5666666666666</v>
      </c>
    </row>
    <row r="222" spans="1:53">
      <c r="A222" s="405" t="s">
        <v>204</v>
      </c>
      <c r="B222" s="407" t="s">
        <v>431</v>
      </c>
      <c r="C222" s="404"/>
      <c r="D222" s="399">
        <v>434061</v>
      </c>
      <c r="E222" s="408">
        <v>9</v>
      </c>
      <c r="F222" s="296" t="s">
        <v>52</v>
      </c>
      <c r="G222" s="297" t="s">
        <v>52</v>
      </c>
      <c r="H222" s="298"/>
      <c r="I222" s="299"/>
      <c r="J222" s="298">
        <v>32701</v>
      </c>
      <c r="K222" s="299">
        <v>35271</v>
      </c>
      <c r="L222" s="298">
        <v>7383</v>
      </c>
      <c r="M222" s="754">
        <v>7912</v>
      </c>
      <c r="N222" s="298">
        <v>38836</v>
      </c>
      <c r="O222" s="754">
        <v>36145</v>
      </c>
      <c r="P222" s="601">
        <f t="shared" si="69"/>
        <v>78920</v>
      </c>
      <c r="Q222" s="602">
        <f t="shared" si="70"/>
        <v>2630.6666666666665</v>
      </c>
      <c r="R222" s="603">
        <f t="shared" si="71"/>
        <v>79328</v>
      </c>
      <c r="S222" s="604">
        <f t="shared" si="72"/>
        <v>2644.2666666666669</v>
      </c>
      <c r="T222" s="298">
        <v>6214</v>
      </c>
      <c r="U222" s="299">
        <v>5705</v>
      </c>
      <c r="V222" s="601">
        <f t="shared" si="73"/>
        <v>78920</v>
      </c>
      <c r="W222" s="605">
        <f t="shared" si="74"/>
        <v>79328</v>
      </c>
      <c r="X222" s="305"/>
      <c r="Y222" s="299"/>
      <c r="Z222" s="298"/>
      <c r="AA222" s="299"/>
      <c r="AB222" s="298"/>
      <c r="AC222" s="299"/>
      <c r="AD222" s="298"/>
      <c r="AE222" s="299"/>
      <c r="AF222" s="601">
        <f t="shared" si="75"/>
        <v>0</v>
      </c>
      <c r="AG222" s="602">
        <f t="shared" si="76"/>
        <v>0</v>
      </c>
      <c r="AH222" s="603">
        <f t="shared" si="77"/>
        <v>0</v>
      </c>
      <c r="AI222" s="603">
        <f t="shared" si="78"/>
        <v>0</v>
      </c>
      <c r="AJ222" s="298"/>
      <c r="AK222" s="299"/>
      <c r="AL222" s="601">
        <f t="shared" si="79"/>
        <v>0</v>
      </c>
      <c r="AM222" s="604">
        <f t="shared" si="80"/>
        <v>0</v>
      </c>
      <c r="AN222" s="306"/>
      <c r="AO222" s="307"/>
      <c r="AP222" s="298"/>
      <c r="AQ222" s="307"/>
      <c r="AR222" s="298"/>
      <c r="AS222" s="307"/>
      <c r="AT222" s="298"/>
      <c r="AU222" s="307"/>
      <c r="AV222" s="601">
        <f t="shared" si="81"/>
        <v>0</v>
      </c>
      <c r="AW222" s="609">
        <f t="shared" si="82"/>
        <v>0</v>
      </c>
      <c r="AX222" s="603">
        <f t="shared" si="83"/>
        <v>0</v>
      </c>
      <c r="AY222" s="610">
        <f t="shared" si="84"/>
        <v>0</v>
      </c>
      <c r="AZ222" s="611">
        <f t="shared" si="85"/>
        <v>2630.6666666666665</v>
      </c>
      <c r="BA222" s="603">
        <f t="shared" si="86"/>
        <v>2644.2666666666669</v>
      </c>
    </row>
    <row r="223" spans="1:53">
      <c r="A223" s="405" t="s">
        <v>204</v>
      </c>
      <c r="B223" s="400" t="s">
        <v>432</v>
      </c>
      <c r="C223" s="404" t="s">
        <v>455</v>
      </c>
      <c r="D223" s="399">
        <v>440624</v>
      </c>
      <c r="E223" s="399">
        <v>10</v>
      </c>
      <c r="F223" s="296" t="s">
        <v>52</v>
      </c>
      <c r="G223" s="297" t="s">
        <v>52</v>
      </c>
      <c r="H223" s="298"/>
      <c r="I223" s="299"/>
      <c r="J223" s="298">
        <v>17661</v>
      </c>
      <c r="K223" s="299">
        <v>26832</v>
      </c>
      <c r="L223" s="298">
        <v>5311</v>
      </c>
      <c r="M223" s="754">
        <v>6985</v>
      </c>
      <c r="N223" s="298">
        <v>25519</v>
      </c>
      <c r="O223" s="754">
        <v>29062</v>
      </c>
      <c r="P223" s="601">
        <f t="shared" si="69"/>
        <v>48491</v>
      </c>
      <c r="Q223" s="602">
        <f t="shared" si="70"/>
        <v>1616.3666666666666</v>
      </c>
      <c r="R223" s="603">
        <f t="shared" si="71"/>
        <v>62879</v>
      </c>
      <c r="S223" s="604">
        <f t="shared" si="72"/>
        <v>2095.9666666666667</v>
      </c>
      <c r="T223" s="298">
        <v>2402</v>
      </c>
      <c r="U223" s="299">
        <v>3654</v>
      </c>
      <c r="V223" s="601">
        <f t="shared" si="73"/>
        <v>48491</v>
      </c>
      <c r="W223" s="605">
        <f t="shared" si="74"/>
        <v>62879</v>
      </c>
      <c r="X223" s="305"/>
      <c r="Y223" s="299"/>
      <c r="Z223" s="298"/>
      <c r="AA223" s="299"/>
      <c r="AB223" s="298"/>
      <c r="AC223" s="299"/>
      <c r="AD223" s="298"/>
      <c r="AE223" s="299"/>
      <c r="AF223" s="601">
        <f t="shared" si="75"/>
        <v>0</v>
      </c>
      <c r="AG223" s="602">
        <f t="shared" si="76"/>
        <v>0</v>
      </c>
      <c r="AH223" s="603">
        <f t="shared" si="77"/>
        <v>0</v>
      </c>
      <c r="AI223" s="603">
        <f t="shared" si="78"/>
        <v>0</v>
      </c>
      <c r="AJ223" s="298"/>
      <c r="AK223" s="299"/>
      <c r="AL223" s="601">
        <f t="shared" si="79"/>
        <v>0</v>
      </c>
      <c r="AM223" s="604">
        <f t="shared" si="80"/>
        <v>0</v>
      </c>
      <c r="AN223" s="306"/>
      <c r="AO223" s="307"/>
      <c r="AP223" s="298"/>
      <c r="AQ223" s="307"/>
      <c r="AR223" s="298"/>
      <c r="AS223" s="307"/>
      <c r="AT223" s="298"/>
      <c r="AU223" s="307"/>
      <c r="AV223" s="601">
        <f t="shared" si="81"/>
        <v>0</v>
      </c>
      <c r="AW223" s="609">
        <f t="shared" si="82"/>
        <v>0</v>
      </c>
      <c r="AX223" s="603">
        <f t="shared" si="83"/>
        <v>0</v>
      </c>
      <c r="AY223" s="610">
        <f t="shared" si="84"/>
        <v>0</v>
      </c>
      <c r="AZ223" s="611">
        <f t="shared" si="85"/>
        <v>1616.3666666666666</v>
      </c>
      <c r="BA223" s="603">
        <f t="shared" si="86"/>
        <v>2095.9666666666667</v>
      </c>
    </row>
    <row r="224" spans="1:53">
      <c r="A224" s="405" t="s">
        <v>204</v>
      </c>
      <c r="B224" s="400" t="s">
        <v>433</v>
      </c>
      <c r="C224" s="404"/>
      <c r="D224" s="399">
        <v>158884</v>
      </c>
      <c r="E224" s="399">
        <v>10</v>
      </c>
      <c r="F224" s="296" t="s">
        <v>52</v>
      </c>
      <c r="G224" s="297" t="s">
        <v>52</v>
      </c>
      <c r="H224" s="298"/>
      <c r="I224" s="299"/>
      <c r="J224" s="298">
        <v>15559</v>
      </c>
      <c r="K224" s="299">
        <v>18029</v>
      </c>
      <c r="L224" s="298">
        <v>3739</v>
      </c>
      <c r="M224" s="754">
        <v>4186</v>
      </c>
      <c r="N224" s="298">
        <v>19304</v>
      </c>
      <c r="O224" s="754">
        <v>19942</v>
      </c>
      <c r="P224" s="601">
        <f t="shared" si="69"/>
        <v>38602</v>
      </c>
      <c r="Q224" s="602">
        <f t="shared" si="70"/>
        <v>1286.7333333333333</v>
      </c>
      <c r="R224" s="603">
        <f t="shared" si="71"/>
        <v>42157</v>
      </c>
      <c r="S224" s="604">
        <f t="shared" si="72"/>
        <v>1405.2333333333333</v>
      </c>
      <c r="T224" s="298">
        <v>5001</v>
      </c>
      <c r="U224" s="299">
        <v>5250</v>
      </c>
      <c r="V224" s="601">
        <f t="shared" si="73"/>
        <v>38602</v>
      </c>
      <c r="W224" s="605">
        <f t="shared" si="74"/>
        <v>42157</v>
      </c>
      <c r="X224" s="305"/>
      <c r="Y224" s="299"/>
      <c r="Z224" s="298"/>
      <c r="AA224" s="299"/>
      <c r="AB224" s="298"/>
      <c r="AC224" s="299"/>
      <c r="AD224" s="298"/>
      <c r="AE224" s="299"/>
      <c r="AF224" s="601">
        <f t="shared" si="75"/>
        <v>0</v>
      </c>
      <c r="AG224" s="602">
        <f t="shared" si="76"/>
        <v>0</v>
      </c>
      <c r="AH224" s="603">
        <f t="shared" si="77"/>
        <v>0</v>
      </c>
      <c r="AI224" s="603">
        <f t="shared" si="78"/>
        <v>0</v>
      </c>
      <c r="AJ224" s="298"/>
      <c r="AK224" s="299"/>
      <c r="AL224" s="601">
        <f t="shared" si="79"/>
        <v>0</v>
      </c>
      <c r="AM224" s="604">
        <f t="shared" si="80"/>
        <v>0</v>
      </c>
      <c r="AN224" s="306"/>
      <c r="AO224" s="307"/>
      <c r="AP224" s="298"/>
      <c r="AQ224" s="307"/>
      <c r="AR224" s="298"/>
      <c r="AS224" s="307"/>
      <c r="AT224" s="298"/>
      <c r="AU224" s="307"/>
      <c r="AV224" s="601">
        <f t="shared" si="81"/>
        <v>0</v>
      </c>
      <c r="AW224" s="609">
        <f t="shared" si="82"/>
        <v>0</v>
      </c>
      <c r="AX224" s="603">
        <f t="shared" si="83"/>
        <v>0</v>
      </c>
      <c r="AY224" s="610">
        <f t="shared" si="84"/>
        <v>0</v>
      </c>
      <c r="AZ224" s="611">
        <f t="shared" si="85"/>
        <v>1286.7333333333333</v>
      </c>
      <c r="BA224" s="603">
        <f t="shared" si="86"/>
        <v>1405.2333333333333</v>
      </c>
    </row>
    <row r="225" spans="1:53">
      <c r="A225" s="405" t="s">
        <v>204</v>
      </c>
      <c r="B225" s="400" t="s">
        <v>434</v>
      </c>
      <c r="C225" s="404"/>
      <c r="D225" s="399">
        <v>436304</v>
      </c>
      <c r="E225" s="399">
        <v>10</v>
      </c>
      <c r="F225" s="296" t="s">
        <v>52</v>
      </c>
      <c r="G225" s="297" t="s">
        <v>52</v>
      </c>
      <c r="H225" s="298"/>
      <c r="I225" s="299"/>
      <c r="J225" s="298">
        <v>13852</v>
      </c>
      <c r="K225" s="299">
        <v>21170</v>
      </c>
      <c r="L225" s="298">
        <v>4614</v>
      </c>
      <c r="M225" s="754">
        <v>5848</v>
      </c>
      <c r="N225" s="298">
        <v>22698</v>
      </c>
      <c r="O225" s="754">
        <v>23260</v>
      </c>
      <c r="P225" s="601">
        <f t="shared" si="69"/>
        <v>41164</v>
      </c>
      <c r="Q225" s="602">
        <f t="shared" si="70"/>
        <v>1372.1333333333334</v>
      </c>
      <c r="R225" s="603">
        <f t="shared" si="71"/>
        <v>50278</v>
      </c>
      <c r="S225" s="604">
        <f t="shared" si="72"/>
        <v>1675.9333333333334</v>
      </c>
      <c r="T225" s="298">
        <v>3865</v>
      </c>
      <c r="U225" s="299">
        <v>5390</v>
      </c>
      <c r="V225" s="601">
        <f t="shared" si="73"/>
        <v>41164</v>
      </c>
      <c r="W225" s="605">
        <f t="shared" si="74"/>
        <v>50278</v>
      </c>
      <c r="X225" s="305"/>
      <c r="Y225" s="299"/>
      <c r="Z225" s="298"/>
      <c r="AA225" s="299"/>
      <c r="AB225" s="298"/>
      <c r="AC225" s="299"/>
      <c r="AD225" s="298"/>
      <c r="AE225" s="299"/>
      <c r="AF225" s="601">
        <f t="shared" si="75"/>
        <v>0</v>
      </c>
      <c r="AG225" s="602">
        <f t="shared" si="76"/>
        <v>0</v>
      </c>
      <c r="AH225" s="603">
        <f t="shared" si="77"/>
        <v>0</v>
      </c>
      <c r="AI225" s="603">
        <f t="shared" si="78"/>
        <v>0</v>
      </c>
      <c r="AJ225" s="298"/>
      <c r="AK225" s="299"/>
      <c r="AL225" s="601">
        <f t="shared" si="79"/>
        <v>0</v>
      </c>
      <c r="AM225" s="604">
        <f t="shared" si="80"/>
        <v>0</v>
      </c>
      <c r="AN225" s="306"/>
      <c r="AO225" s="307"/>
      <c r="AP225" s="298"/>
      <c r="AQ225" s="307"/>
      <c r="AR225" s="298"/>
      <c r="AS225" s="307"/>
      <c r="AT225" s="298"/>
      <c r="AU225" s="307"/>
      <c r="AV225" s="601">
        <f t="shared" si="81"/>
        <v>0</v>
      </c>
      <c r="AW225" s="609">
        <f t="shared" si="82"/>
        <v>0</v>
      </c>
      <c r="AX225" s="603">
        <f t="shared" si="83"/>
        <v>0</v>
      </c>
      <c r="AY225" s="610">
        <f t="shared" si="84"/>
        <v>0</v>
      </c>
      <c r="AZ225" s="611">
        <f t="shared" si="85"/>
        <v>1372.1333333333334</v>
      </c>
      <c r="BA225" s="603">
        <f t="shared" si="86"/>
        <v>1675.9333333333334</v>
      </c>
    </row>
    <row r="226" spans="1:53">
      <c r="A226" s="405" t="s">
        <v>204</v>
      </c>
      <c r="B226" s="409" t="s">
        <v>435</v>
      </c>
      <c r="C226" s="404" t="s">
        <v>455</v>
      </c>
      <c r="D226" s="399">
        <v>160649</v>
      </c>
      <c r="E226" s="410">
        <v>10</v>
      </c>
      <c r="F226" s="296" t="s">
        <v>52</v>
      </c>
      <c r="G226" s="297" t="s">
        <v>52</v>
      </c>
      <c r="H226" s="298"/>
      <c r="I226" s="299"/>
      <c r="J226" s="298">
        <v>31691</v>
      </c>
      <c r="K226" s="299">
        <v>29670</v>
      </c>
      <c r="L226" s="298">
        <v>8550</v>
      </c>
      <c r="M226" s="754">
        <v>7467</v>
      </c>
      <c r="N226" s="298">
        <v>61604</v>
      </c>
      <c r="O226" s="754">
        <v>32460</v>
      </c>
      <c r="P226" s="601">
        <f t="shared" si="69"/>
        <v>101845</v>
      </c>
      <c r="Q226" s="602">
        <f t="shared" si="70"/>
        <v>3394.8333333333335</v>
      </c>
      <c r="R226" s="603">
        <f t="shared" si="71"/>
        <v>69597</v>
      </c>
      <c r="S226" s="604">
        <f t="shared" si="72"/>
        <v>2319.9</v>
      </c>
      <c r="T226" s="298">
        <v>2424</v>
      </c>
      <c r="U226" s="299">
        <v>2125</v>
      </c>
      <c r="V226" s="601">
        <f t="shared" si="73"/>
        <v>101845</v>
      </c>
      <c r="W226" s="605">
        <f t="shared" si="74"/>
        <v>69597</v>
      </c>
      <c r="X226" s="305"/>
      <c r="Y226" s="299"/>
      <c r="Z226" s="298"/>
      <c r="AA226" s="299"/>
      <c r="AB226" s="298"/>
      <c r="AC226" s="299"/>
      <c r="AD226" s="298"/>
      <c r="AE226" s="299"/>
      <c r="AF226" s="601">
        <f t="shared" si="75"/>
        <v>0</v>
      </c>
      <c r="AG226" s="602">
        <f t="shared" si="76"/>
        <v>0</v>
      </c>
      <c r="AH226" s="603">
        <f t="shared" si="77"/>
        <v>0</v>
      </c>
      <c r="AI226" s="603">
        <f t="shared" si="78"/>
        <v>0</v>
      </c>
      <c r="AJ226" s="298"/>
      <c r="AK226" s="299"/>
      <c r="AL226" s="601">
        <f t="shared" si="79"/>
        <v>0</v>
      </c>
      <c r="AM226" s="604">
        <f t="shared" si="80"/>
        <v>0</v>
      </c>
      <c r="AN226" s="306"/>
      <c r="AO226" s="307"/>
      <c r="AP226" s="298"/>
      <c r="AQ226" s="307"/>
      <c r="AR226" s="298"/>
      <c r="AS226" s="307"/>
      <c r="AT226" s="298"/>
      <c r="AU226" s="307"/>
      <c r="AV226" s="601">
        <f t="shared" si="81"/>
        <v>0</v>
      </c>
      <c r="AW226" s="609">
        <f t="shared" si="82"/>
        <v>0</v>
      </c>
      <c r="AX226" s="603">
        <f t="shared" si="83"/>
        <v>0</v>
      </c>
      <c r="AY226" s="610">
        <f t="shared" si="84"/>
        <v>0</v>
      </c>
      <c r="AZ226" s="611">
        <f t="shared" si="85"/>
        <v>3394.8333333333335</v>
      </c>
      <c r="BA226" s="603">
        <f t="shared" si="86"/>
        <v>2319.9</v>
      </c>
    </row>
    <row r="227" spans="1:53">
      <c r="A227" s="411" t="s">
        <v>204</v>
      </c>
      <c r="B227" s="412" t="s">
        <v>436</v>
      </c>
      <c r="C227" s="404"/>
      <c r="D227" s="413">
        <v>159443</v>
      </c>
      <c r="E227" s="414">
        <v>12</v>
      </c>
      <c r="F227" s="296" t="s">
        <v>52</v>
      </c>
      <c r="G227" s="297" t="s">
        <v>52</v>
      </c>
      <c r="H227" s="298"/>
      <c r="I227" s="299"/>
      <c r="J227" s="298">
        <v>40928</v>
      </c>
      <c r="K227" s="299">
        <v>41514.5</v>
      </c>
      <c r="L227" s="298">
        <v>14368</v>
      </c>
      <c r="M227" s="754">
        <v>14624</v>
      </c>
      <c r="N227" s="298">
        <v>47398</v>
      </c>
      <c r="O227" s="754">
        <v>39129</v>
      </c>
      <c r="P227" s="601">
        <f t="shared" si="69"/>
        <v>102694</v>
      </c>
      <c r="Q227" s="602">
        <f t="shared" si="70"/>
        <v>3423.1333333333332</v>
      </c>
      <c r="R227" s="603">
        <f t="shared" si="71"/>
        <v>95267.5</v>
      </c>
      <c r="S227" s="604">
        <f t="shared" si="72"/>
        <v>3175.5833333333335</v>
      </c>
      <c r="T227" s="298">
        <v>12199</v>
      </c>
      <c r="U227" s="299">
        <v>7039</v>
      </c>
      <c r="V227" s="601">
        <f t="shared" si="73"/>
        <v>102694</v>
      </c>
      <c r="W227" s="605">
        <f t="shared" si="74"/>
        <v>95267.5</v>
      </c>
      <c r="X227" s="305"/>
      <c r="Y227" s="299"/>
      <c r="Z227" s="298"/>
      <c r="AA227" s="299"/>
      <c r="AB227" s="298"/>
      <c r="AC227" s="299"/>
      <c r="AD227" s="298"/>
      <c r="AE227" s="299"/>
      <c r="AF227" s="601">
        <f t="shared" si="75"/>
        <v>0</v>
      </c>
      <c r="AG227" s="602">
        <f t="shared" si="76"/>
        <v>0</v>
      </c>
      <c r="AH227" s="603">
        <f t="shared" si="77"/>
        <v>0</v>
      </c>
      <c r="AI227" s="603">
        <f t="shared" si="78"/>
        <v>0</v>
      </c>
      <c r="AJ227" s="298"/>
      <c r="AK227" s="299"/>
      <c r="AL227" s="601">
        <f t="shared" si="79"/>
        <v>0</v>
      </c>
      <c r="AM227" s="604">
        <f t="shared" si="80"/>
        <v>0</v>
      </c>
      <c r="AN227" s="306"/>
      <c r="AO227" s="307"/>
      <c r="AP227" s="298"/>
      <c r="AQ227" s="307"/>
      <c r="AR227" s="298"/>
      <c r="AS227" s="307"/>
      <c r="AT227" s="298"/>
      <c r="AU227" s="307"/>
      <c r="AV227" s="601">
        <f t="shared" si="81"/>
        <v>0</v>
      </c>
      <c r="AW227" s="609">
        <f t="shared" si="82"/>
        <v>0</v>
      </c>
      <c r="AX227" s="603">
        <f t="shared" si="83"/>
        <v>0</v>
      </c>
      <c r="AY227" s="610">
        <f t="shared" si="84"/>
        <v>0</v>
      </c>
      <c r="AZ227" s="611">
        <f t="shared" si="85"/>
        <v>3423.1333333333332</v>
      </c>
      <c r="BA227" s="603">
        <f t="shared" si="86"/>
        <v>3175.5833333333335</v>
      </c>
    </row>
    <row r="228" spans="1:53">
      <c r="A228" s="411" t="s">
        <v>204</v>
      </c>
      <c r="B228" s="412" t="s">
        <v>437</v>
      </c>
      <c r="C228" s="404"/>
      <c r="D228" s="413">
        <v>158352</v>
      </c>
      <c r="E228" s="414">
        <v>12</v>
      </c>
      <c r="F228" s="296" t="s">
        <v>52</v>
      </c>
      <c r="G228" s="297" t="s">
        <v>52</v>
      </c>
      <c r="H228" s="298"/>
      <c r="I228" s="299"/>
      <c r="J228" s="298">
        <v>30979</v>
      </c>
      <c r="K228" s="299">
        <v>31009.5</v>
      </c>
      <c r="L228" s="298">
        <v>11509</v>
      </c>
      <c r="M228" s="754">
        <v>9633</v>
      </c>
      <c r="N228" s="298">
        <v>34248</v>
      </c>
      <c r="O228" s="754">
        <v>33874</v>
      </c>
      <c r="P228" s="601">
        <f t="shared" si="69"/>
        <v>76736</v>
      </c>
      <c r="Q228" s="602">
        <f t="shared" si="70"/>
        <v>2557.8666666666668</v>
      </c>
      <c r="R228" s="603">
        <f t="shared" si="71"/>
        <v>74516.5</v>
      </c>
      <c r="S228" s="604">
        <f t="shared" si="72"/>
        <v>2483.8833333333332</v>
      </c>
      <c r="T228" s="298">
        <v>11999</v>
      </c>
      <c r="U228" s="415">
        <v>13208</v>
      </c>
      <c r="V228" s="601">
        <f t="shared" si="73"/>
        <v>76736</v>
      </c>
      <c r="W228" s="605">
        <f t="shared" si="74"/>
        <v>74516.5</v>
      </c>
      <c r="X228" s="305"/>
      <c r="Y228" s="299"/>
      <c r="Z228" s="298"/>
      <c r="AA228" s="299"/>
      <c r="AB228" s="298"/>
      <c r="AC228" s="299"/>
      <c r="AD228" s="298"/>
      <c r="AE228" s="299"/>
      <c r="AF228" s="601">
        <f t="shared" si="75"/>
        <v>0</v>
      </c>
      <c r="AG228" s="602">
        <f t="shared" si="76"/>
        <v>0</v>
      </c>
      <c r="AH228" s="603">
        <f t="shared" si="77"/>
        <v>0</v>
      </c>
      <c r="AI228" s="603">
        <f t="shared" si="78"/>
        <v>0</v>
      </c>
      <c r="AJ228" s="298"/>
      <c r="AK228" s="299"/>
      <c r="AL228" s="601">
        <f t="shared" si="79"/>
        <v>0</v>
      </c>
      <c r="AM228" s="604">
        <f t="shared" si="80"/>
        <v>0</v>
      </c>
      <c r="AN228" s="306"/>
      <c r="AO228" s="307"/>
      <c r="AP228" s="298"/>
      <c r="AQ228" s="307"/>
      <c r="AR228" s="298"/>
      <c r="AS228" s="307"/>
      <c r="AT228" s="298"/>
      <c r="AU228" s="307"/>
      <c r="AV228" s="601">
        <f t="shared" si="81"/>
        <v>0</v>
      </c>
      <c r="AW228" s="609">
        <f t="shared" si="82"/>
        <v>0</v>
      </c>
      <c r="AX228" s="603">
        <f t="shared" si="83"/>
        <v>0</v>
      </c>
      <c r="AY228" s="610">
        <f t="shared" si="84"/>
        <v>0</v>
      </c>
      <c r="AZ228" s="611">
        <f t="shared" si="85"/>
        <v>2557.8666666666668</v>
      </c>
      <c r="BA228" s="603">
        <f t="shared" si="86"/>
        <v>2483.8833333333332</v>
      </c>
    </row>
    <row r="229" spans="1:53">
      <c r="A229" s="411" t="s">
        <v>204</v>
      </c>
      <c r="B229" s="412" t="s">
        <v>438</v>
      </c>
      <c r="C229" s="404"/>
      <c r="D229" s="413">
        <v>158088</v>
      </c>
      <c r="E229" s="414">
        <v>12</v>
      </c>
      <c r="F229" s="296" t="s">
        <v>52</v>
      </c>
      <c r="G229" s="297" t="s">
        <v>52</v>
      </c>
      <c r="H229" s="298"/>
      <c r="I229" s="299"/>
      <c r="J229" s="298">
        <v>31852</v>
      </c>
      <c r="K229" s="299">
        <v>26500.5</v>
      </c>
      <c r="L229" s="298">
        <v>11768</v>
      </c>
      <c r="M229" s="754">
        <v>10503.5</v>
      </c>
      <c r="N229" s="298">
        <v>35871</v>
      </c>
      <c r="O229" s="754">
        <v>25255</v>
      </c>
      <c r="P229" s="601">
        <f t="shared" si="69"/>
        <v>79491</v>
      </c>
      <c r="Q229" s="602">
        <f t="shared" si="70"/>
        <v>2649.7</v>
      </c>
      <c r="R229" s="603">
        <f t="shared" si="71"/>
        <v>62259</v>
      </c>
      <c r="S229" s="604">
        <f t="shared" si="72"/>
        <v>2075.3000000000002</v>
      </c>
      <c r="T229" s="298">
        <v>9278</v>
      </c>
      <c r="U229" s="415">
        <v>5387</v>
      </c>
      <c r="V229" s="601">
        <f t="shared" si="73"/>
        <v>79491</v>
      </c>
      <c r="W229" s="605">
        <f t="shared" si="74"/>
        <v>62259</v>
      </c>
      <c r="X229" s="305"/>
      <c r="Y229" s="299"/>
      <c r="Z229" s="298"/>
      <c r="AA229" s="299"/>
      <c r="AB229" s="298"/>
      <c r="AC229" s="299"/>
      <c r="AD229" s="298"/>
      <c r="AE229" s="299"/>
      <c r="AF229" s="601">
        <f t="shared" si="75"/>
        <v>0</v>
      </c>
      <c r="AG229" s="602">
        <f t="shared" si="76"/>
        <v>0</v>
      </c>
      <c r="AH229" s="603">
        <f t="shared" si="77"/>
        <v>0</v>
      </c>
      <c r="AI229" s="603">
        <f t="shared" si="78"/>
        <v>0</v>
      </c>
      <c r="AJ229" s="298"/>
      <c r="AK229" s="299"/>
      <c r="AL229" s="601">
        <f t="shared" si="79"/>
        <v>0</v>
      </c>
      <c r="AM229" s="604">
        <f t="shared" si="80"/>
        <v>0</v>
      </c>
      <c r="AN229" s="306"/>
      <c r="AO229" s="307"/>
      <c r="AP229" s="298"/>
      <c r="AQ229" s="307"/>
      <c r="AR229" s="298"/>
      <c r="AS229" s="307"/>
      <c r="AT229" s="298"/>
      <c r="AU229" s="307"/>
      <c r="AV229" s="601">
        <f t="shared" si="81"/>
        <v>0</v>
      </c>
      <c r="AW229" s="609">
        <f t="shared" si="82"/>
        <v>0</v>
      </c>
      <c r="AX229" s="603">
        <f t="shared" si="83"/>
        <v>0</v>
      </c>
      <c r="AY229" s="610">
        <f t="shared" si="84"/>
        <v>0</v>
      </c>
      <c r="AZ229" s="611">
        <f t="shared" si="85"/>
        <v>2649.7</v>
      </c>
      <c r="BA229" s="603">
        <f t="shared" si="86"/>
        <v>2075.3000000000002</v>
      </c>
    </row>
    <row r="230" spans="1:53">
      <c r="A230" s="405" t="s">
        <v>204</v>
      </c>
      <c r="B230" s="558" t="s">
        <v>444</v>
      </c>
      <c r="C230" s="421" t="s">
        <v>463</v>
      </c>
      <c r="D230" s="399">
        <v>160481</v>
      </c>
      <c r="E230" s="422">
        <v>12</v>
      </c>
      <c r="F230" s="296" t="s">
        <v>52</v>
      </c>
      <c r="G230" s="297" t="s">
        <v>52</v>
      </c>
      <c r="H230" s="298"/>
      <c r="I230" s="299"/>
      <c r="J230" s="298">
        <v>15635</v>
      </c>
      <c r="K230" s="299">
        <v>18142</v>
      </c>
      <c r="L230" s="298">
        <v>3769</v>
      </c>
      <c r="M230" s="754">
        <v>3769</v>
      </c>
      <c r="N230" s="298">
        <v>21478</v>
      </c>
      <c r="O230" s="754">
        <v>22951</v>
      </c>
      <c r="P230" s="601">
        <f t="shared" si="69"/>
        <v>40882</v>
      </c>
      <c r="Q230" s="602">
        <f t="shared" si="70"/>
        <v>1362.7333333333333</v>
      </c>
      <c r="R230" s="603">
        <f t="shared" si="71"/>
        <v>44862</v>
      </c>
      <c r="S230" s="604">
        <f t="shared" si="72"/>
        <v>1495.4</v>
      </c>
      <c r="T230" s="298">
        <v>1320</v>
      </c>
      <c r="U230" s="417">
        <v>1101</v>
      </c>
      <c r="V230" s="601">
        <f t="shared" si="73"/>
        <v>40882</v>
      </c>
      <c r="W230" s="605">
        <f t="shared" si="74"/>
        <v>44862</v>
      </c>
      <c r="X230" s="305"/>
      <c r="Y230" s="299"/>
      <c r="Z230" s="298"/>
      <c r="AA230" s="299"/>
      <c r="AB230" s="298"/>
      <c r="AC230" s="299"/>
      <c r="AD230" s="298"/>
      <c r="AE230" s="299"/>
      <c r="AF230" s="601">
        <f t="shared" si="75"/>
        <v>0</v>
      </c>
      <c r="AG230" s="602">
        <f t="shared" si="76"/>
        <v>0</v>
      </c>
      <c r="AH230" s="603">
        <f t="shared" si="77"/>
        <v>0</v>
      </c>
      <c r="AI230" s="603">
        <f t="shared" si="78"/>
        <v>0</v>
      </c>
      <c r="AJ230" s="298"/>
      <c r="AK230" s="299"/>
      <c r="AL230" s="601">
        <f t="shared" si="79"/>
        <v>0</v>
      </c>
      <c r="AM230" s="604">
        <f t="shared" si="80"/>
        <v>0</v>
      </c>
      <c r="AN230" s="306"/>
      <c r="AO230" s="307"/>
      <c r="AP230" s="298"/>
      <c r="AQ230" s="307"/>
      <c r="AR230" s="298"/>
      <c r="AS230" s="307"/>
      <c r="AT230" s="298"/>
      <c r="AU230" s="307"/>
      <c r="AV230" s="601">
        <f t="shared" si="81"/>
        <v>0</v>
      </c>
      <c r="AW230" s="609">
        <f t="shared" si="82"/>
        <v>0</v>
      </c>
      <c r="AX230" s="603">
        <f t="shared" si="83"/>
        <v>0</v>
      </c>
      <c r="AY230" s="610">
        <f t="shared" si="84"/>
        <v>0</v>
      </c>
      <c r="AZ230" s="611">
        <f t="shared" si="85"/>
        <v>1362.7333333333333</v>
      </c>
      <c r="BA230" s="603">
        <f t="shared" si="86"/>
        <v>1495.4</v>
      </c>
    </row>
    <row r="231" spans="1:53">
      <c r="A231" s="411" t="s">
        <v>204</v>
      </c>
      <c r="B231" s="412" t="s">
        <v>439</v>
      </c>
      <c r="C231" s="404"/>
      <c r="D231" s="413">
        <v>158769</v>
      </c>
      <c r="E231" s="414">
        <v>12</v>
      </c>
      <c r="F231" s="296" t="s">
        <v>52</v>
      </c>
      <c r="G231" s="297" t="s">
        <v>52</v>
      </c>
      <c r="H231" s="298"/>
      <c r="I231" s="299"/>
      <c r="J231" s="298">
        <v>25454</v>
      </c>
      <c r="K231" s="299">
        <v>15188</v>
      </c>
      <c r="L231" s="298">
        <v>7698</v>
      </c>
      <c r="M231" s="754">
        <v>6115</v>
      </c>
      <c r="N231" s="298">
        <v>18284</v>
      </c>
      <c r="O231" s="754">
        <v>15907</v>
      </c>
      <c r="P231" s="601">
        <f t="shared" si="69"/>
        <v>51436</v>
      </c>
      <c r="Q231" s="602">
        <f t="shared" si="70"/>
        <v>1714.5333333333333</v>
      </c>
      <c r="R231" s="603">
        <f t="shared" si="71"/>
        <v>37210</v>
      </c>
      <c r="S231" s="604">
        <f t="shared" si="72"/>
        <v>1240.3333333333333</v>
      </c>
      <c r="T231" s="298">
        <v>7723</v>
      </c>
      <c r="U231" s="416">
        <v>2807</v>
      </c>
      <c r="V231" s="601">
        <f t="shared" si="73"/>
        <v>51436</v>
      </c>
      <c r="W231" s="605">
        <f t="shared" si="74"/>
        <v>37210</v>
      </c>
      <c r="X231" s="305"/>
      <c r="Y231" s="299"/>
      <c r="Z231" s="298"/>
      <c r="AA231" s="299"/>
      <c r="AB231" s="298"/>
      <c r="AC231" s="299"/>
      <c r="AD231" s="298"/>
      <c r="AE231" s="299"/>
      <c r="AF231" s="601">
        <f t="shared" si="75"/>
        <v>0</v>
      </c>
      <c r="AG231" s="602">
        <f t="shared" si="76"/>
        <v>0</v>
      </c>
      <c r="AH231" s="603">
        <f t="shared" si="77"/>
        <v>0</v>
      </c>
      <c r="AI231" s="603">
        <f t="shared" si="78"/>
        <v>0</v>
      </c>
      <c r="AJ231" s="298"/>
      <c r="AK231" s="299"/>
      <c r="AL231" s="601">
        <f t="shared" si="79"/>
        <v>0</v>
      </c>
      <c r="AM231" s="604">
        <f t="shared" si="80"/>
        <v>0</v>
      </c>
      <c r="AN231" s="306"/>
      <c r="AO231" s="307"/>
      <c r="AP231" s="298"/>
      <c r="AQ231" s="307"/>
      <c r="AR231" s="298"/>
      <c r="AS231" s="307"/>
      <c r="AT231" s="298"/>
      <c r="AU231" s="307"/>
      <c r="AV231" s="601">
        <f t="shared" si="81"/>
        <v>0</v>
      </c>
      <c r="AW231" s="609">
        <f t="shared" si="82"/>
        <v>0</v>
      </c>
      <c r="AX231" s="603">
        <f t="shared" si="83"/>
        <v>0</v>
      </c>
      <c r="AY231" s="610">
        <f t="shared" si="84"/>
        <v>0</v>
      </c>
      <c r="AZ231" s="611">
        <f t="shared" si="85"/>
        <v>1714.5333333333333</v>
      </c>
      <c r="BA231" s="603">
        <f t="shared" si="86"/>
        <v>1240.3333333333333</v>
      </c>
    </row>
    <row r="232" spans="1:53">
      <c r="A232" s="411" t="s">
        <v>204</v>
      </c>
      <c r="B232" s="412" t="s">
        <v>440</v>
      </c>
      <c r="C232" s="404"/>
      <c r="D232" s="413">
        <v>160667</v>
      </c>
      <c r="E232" s="414">
        <v>12</v>
      </c>
      <c r="F232" s="296" t="s">
        <v>52</v>
      </c>
      <c r="G232" s="297" t="s">
        <v>52</v>
      </c>
      <c r="H232" s="298"/>
      <c r="I232" s="299"/>
      <c r="J232" s="298">
        <v>30575</v>
      </c>
      <c r="K232" s="299">
        <v>25958.5</v>
      </c>
      <c r="L232" s="298">
        <v>7223</v>
      </c>
      <c r="M232" s="754">
        <v>7698.5</v>
      </c>
      <c r="N232" s="298">
        <v>28175</v>
      </c>
      <c r="O232" s="754">
        <v>27292</v>
      </c>
      <c r="P232" s="601">
        <f t="shared" si="69"/>
        <v>65973</v>
      </c>
      <c r="Q232" s="602">
        <f t="shared" si="70"/>
        <v>2199.1</v>
      </c>
      <c r="R232" s="603">
        <f t="shared" si="71"/>
        <v>60949</v>
      </c>
      <c r="S232" s="604">
        <f t="shared" si="72"/>
        <v>2031.6333333333334</v>
      </c>
      <c r="T232" s="298">
        <v>16886</v>
      </c>
      <c r="U232" s="416">
        <v>12471</v>
      </c>
      <c r="V232" s="601">
        <f t="shared" si="73"/>
        <v>65973</v>
      </c>
      <c r="W232" s="605">
        <f t="shared" si="74"/>
        <v>60949</v>
      </c>
      <c r="X232" s="305"/>
      <c r="Y232" s="299"/>
      <c r="Z232" s="298"/>
      <c r="AA232" s="299"/>
      <c r="AB232" s="298"/>
      <c r="AC232" s="299"/>
      <c r="AD232" s="298"/>
      <c r="AE232" s="299"/>
      <c r="AF232" s="601">
        <f t="shared" si="75"/>
        <v>0</v>
      </c>
      <c r="AG232" s="602">
        <f t="shared" si="76"/>
        <v>0</v>
      </c>
      <c r="AH232" s="603">
        <f t="shared" si="77"/>
        <v>0</v>
      </c>
      <c r="AI232" s="603">
        <f t="shared" si="78"/>
        <v>0</v>
      </c>
      <c r="AJ232" s="298"/>
      <c r="AK232" s="299"/>
      <c r="AL232" s="601">
        <f t="shared" si="79"/>
        <v>0</v>
      </c>
      <c r="AM232" s="604">
        <f t="shared" si="80"/>
        <v>0</v>
      </c>
      <c r="AN232" s="306"/>
      <c r="AO232" s="307"/>
      <c r="AP232" s="298"/>
      <c r="AQ232" s="307"/>
      <c r="AR232" s="298"/>
      <c r="AS232" s="307"/>
      <c r="AT232" s="298"/>
      <c r="AU232" s="307"/>
      <c r="AV232" s="601">
        <f t="shared" si="81"/>
        <v>0</v>
      </c>
      <c r="AW232" s="609">
        <f t="shared" si="82"/>
        <v>0</v>
      </c>
      <c r="AX232" s="603">
        <f t="shared" si="83"/>
        <v>0</v>
      </c>
      <c r="AY232" s="610">
        <f t="shared" si="84"/>
        <v>0</v>
      </c>
      <c r="AZ232" s="611">
        <f t="shared" si="85"/>
        <v>2199.1</v>
      </c>
      <c r="BA232" s="603">
        <f t="shared" si="86"/>
        <v>2031.6333333333334</v>
      </c>
    </row>
    <row r="233" spans="1:53">
      <c r="A233" s="411" t="s">
        <v>204</v>
      </c>
      <c r="B233" s="412" t="s">
        <v>441</v>
      </c>
      <c r="C233" s="404"/>
      <c r="D233" s="413">
        <v>160010</v>
      </c>
      <c r="E233" s="414">
        <v>12</v>
      </c>
      <c r="F233" s="296" t="s">
        <v>52</v>
      </c>
      <c r="G233" s="297" t="s">
        <v>52</v>
      </c>
      <c r="H233" s="298"/>
      <c r="I233" s="299"/>
      <c r="J233" s="298">
        <v>30782</v>
      </c>
      <c r="K233" s="299">
        <v>26921.5</v>
      </c>
      <c r="L233" s="298">
        <v>11629</v>
      </c>
      <c r="M233" s="754">
        <v>10637</v>
      </c>
      <c r="N233" s="298">
        <v>29338</v>
      </c>
      <c r="O233" s="754">
        <v>27743</v>
      </c>
      <c r="P233" s="601">
        <f t="shared" si="69"/>
        <v>71749</v>
      </c>
      <c r="Q233" s="602">
        <f t="shared" si="70"/>
        <v>2391.6333333333332</v>
      </c>
      <c r="R233" s="603">
        <f t="shared" si="71"/>
        <v>65301.5</v>
      </c>
      <c r="S233" s="604">
        <f t="shared" si="72"/>
        <v>2176.7166666666667</v>
      </c>
      <c r="T233" s="298">
        <v>6959</v>
      </c>
      <c r="U233" s="416">
        <v>7735</v>
      </c>
      <c r="V233" s="601">
        <f t="shared" si="73"/>
        <v>71749</v>
      </c>
      <c r="W233" s="605">
        <f t="shared" si="74"/>
        <v>65301.5</v>
      </c>
      <c r="X233" s="305"/>
      <c r="Y233" s="299"/>
      <c r="Z233" s="298"/>
      <c r="AA233" s="299"/>
      <c r="AB233" s="298"/>
      <c r="AC233" s="299"/>
      <c r="AD233" s="298"/>
      <c r="AE233" s="299"/>
      <c r="AF233" s="601">
        <f t="shared" si="75"/>
        <v>0</v>
      </c>
      <c r="AG233" s="602">
        <f t="shared" si="76"/>
        <v>0</v>
      </c>
      <c r="AH233" s="603">
        <f t="shared" si="77"/>
        <v>0</v>
      </c>
      <c r="AI233" s="603">
        <f t="shared" si="78"/>
        <v>0</v>
      </c>
      <c r="AJ233" s="298"/>
      <c r="AK233" s="299"/>
      <c r="AL233" s="601">
        <f t="shared" si="79"/>
        <v>0</v>
      </c>
      <c r="AM233" s="604">
        <f t="shared" si="80"/>
        <v>0</v>
      </c>
      <c r="AN233" s="306"/>
      <c r="AO233" s="307"/>
      <c r="AP233" s="298"/>
      <c r="AQ233" s="307"/>
      <c r="AR233" s="298"/>
      <c r="AS233" s="307"/>
      <c r="AT233" s="298"/>
      <c r="AU233" s="307"/>
      <c r="AV233" s="601">
        <f t="shared" si="81"/>
        <v>0</v>
      </c>
      <c r="AW233" s="609">
        <f t="shared" si="82"/>
        <v>0</v>
      </c>
      <c r="AX233" s="603">
        <f t="shared" si="83"/>
        <v>0</v>
      </c>
      <c r="AY233" s="610">
        <f t="shared" si="84"/>
        <v>0</v>
      </c>
      <c r="AZ233" s="611">
        <f t="shared" si="85"/>
        <v>2391.6333333333332</v>
      </c>
      <c r="BA233" s="603">
        <f t="shared" si="86"/>
        <v>2176.7166666666667</v>
      </c>
    </row>
    <row r="234" spans="1:53">
      <c r="A234" s="411" t="s">
        <v>204</v>
      </c>
      <c r="B234" s="564" t="s">
        <v>442</v>
      </c>
      <c r="C234" s="404"/>
      <c r="D234" s="413">
        <v>160913</v>
      </c>
      <c r="E234" s="414">
        <v>12</v>
      </c>
      <c r="F234" s="296" t="s">
        <v>52</v>
      </c>
      <c r="G234" s="297" t="s">
        <v>52</v>
      </c>
      <c r="H234" s="298"/>
      <c r="I234" s="299"/>
      <c r="J234" s="298">
        <v>19251</v>
      </c>
      <c r="K234" s="299">
        <v>22715</v>
      </c>
      <c r="L234" s="298">
        <v>5508</v>
      </c>
      <c r="M234" s="754">
        <v>4942</v>
      </c>
      <c r="N234" s="298">
        <v>22691</v>
      </c>
      <c r="O234" s="754">
        <v>23424</v>
      </c>
      <c r="P234" s="601">
        <f t="shared" si="69"/>
        <v>47450</v>
      </c>
      <c r="Q234" s="602">
        <f t="shared" si="70"/>
        <v>1581.6666666666667</v>
      </c>
      <c r="R234" s="603">
        <f t="shared" si="71"/>
        <v>51081</v>
      </c>
      <c r="S234" s="604">
        <f t="shared" si="72"/>
        <v>1702.7</v>
      </c>
      <c r="T234" s="298">
        <v>12026</v>
      </c>
      <c r="U234" s="416">
        <v>17017</v>
      </c>
      <c r="V234" s="601">
        <f t="shared" si="73"/>
        <v>47450</v>
      </c>
      <c r="W234" s="605">
        <f t="shared" si="74"/>
        <v>51081</v>
      </c>
      <c r="X234" s="305"/>
      <c r="Y234" s="299"/>
      <c r="Z234" s="298"/>
      <c r="AA234" s="299"/>
      <c r="AB234" s="298"/>
      <c r="AC234" s="299"/>
      <c r="AD234" s="298"/>
      <c r="AE234" s="299"/>
      <c r="AF234" s="601">
        <f t="shared" si="75"/>
        <v>0</v>
      </c>
      <c r="AG234" s="602">
        <f t="shared" si="76"/>
        <v>0</v>
      </c>
      <c r="AH234" s="603">
        <f t="shared" si="77"/>
        <v>0</v>
      </c>
      <c r="AI234" s="603">
        <f t="shared" si="78"/>
        <v>0</v>
      </c>
      <c r="AJ234" s="298"/>
      <c r="AK234" s="299"/>
      <c r="AL234" s="601">
        <f t="shared" si="79"/>
        <v>0</v>
      </c>
      <c r="AM234" s="604">
        <f t="shared" si="80"/>
        <v>0</v>
      </c>
      <c r="AN234" s="306"/>
      <c r="AO234" s="307"/>
      <c r="AP234" s="298"/>
      <c r="AQ234" s="307"/>
      <c r="AR234" s="298"/>
      <c r="AS234" s="307"/>
      <c r="AT234" s="298"/>
      <c r="AU234" s="307"/>
      <c r="AV234" s="601">
        <f t="shared" si="81"/>
        <v>0</v>
      </c>
      <c r="AW234" s="609">
        <f t="shared" si="82"/>
        <v>0</v>
      </c>
      <c r="AX234" s="603">
        <f t="shared" si="83"/>
        <v>0</v>
      </c>
      <c r="AY234" s="610">
        <f t="shared" si="84"/>
        <v>0</v>
      </c>
      <c r="AZ234" s="611">
        <f t="shared" si="85"/>
        <v>1581.6666666666667</v>
      </c>
      <c r="BA234" s="603">
        <f t="shared" si="86"/>
        <v>1702.7</v>
      </c>
    </row>
    <row r="235" spans="1:53">
      <c r="A235" s="405" t="s">
        <v>204</v>
      </c>
      <c r="B235" s="400" t="s">
        <v>443</v>
      </c>
      <c r="C235" s="575"/>
      <c r="D235" s="399">
        <v>160579</v>
      </c>
      <c r="E235" s="399">
        <v>12</v>
      </c>
      <c r="F235" s="296" t="s">
        <v>52</v>
      </c>
      <c r="G235" s="297" t="s">
        <v>52</v>
      </c>
      <c r="H235" s="298"/>
      <c r="I235" s="299"/>
      <c r="J235" s="298">
        <v>24073</v>
      </c>
      <c r="K235" s="299">
        <v>29361</v>
      </c>
      <c r="L235" s="298">
        <v>6128</v>
      </c>
      <c r="M235" s="754">
        <v>7631</v>
      </c>
      <c r="N235" s="298">
        <v>28314</v>
      </c>
      <c r="O235" s="754">
        <v>31326</v>
      </c>
      <c r="P235" s="601">
        <f t="shared" si="69"/>
        <v>58515</v>
      </c>
      <c r="Q235" s="602">
        <f t="shared" si="70"/>
        <v>1950.5</v>
      </c>
      <c r="R235" s="603">
        <f t="shared" si="71"/>
        <v>68318</v>
      </c>
      <c r="S235" s="604">
        <f t="shared" si="72"/>
        <v>2277.2666666666669</v>
      </c>
      <c r="T235" s="298">
        <v>2079</v>
      </c>
      <c r="U235" s="417">
        <v>4879</v>
      </c>
      <c r="V235" s="601">
        <f t="shared" si="73"/>
        <v>58515</v>
      </c>
      <c r="W235" s="605">
        <f t="shared" si="74"/>
        <v>68318</v>
      </c>
      <c r="X235" s="305"/>
      <c r="Y235" s="299"/>
      <c r="Z235" s="298"/>
      <c r="AA235" s="299"/>
      <c r="AB235" s="298"/>
      <c r="AC235" s="299"/>
      <c r="AD235" s="298"/>
      <c r="AE235" s="299"/>
      <c r="AF235" s="601">
        <f t="shared" si="75"/>
        <v>0</v>
      </c>
      <c r="AG235" s="602">
        <f t="shared" si="76"/>
        <v>0</v>
      </c>
      <c r="AH235" s="603">
        <f t="shared" si="77"/>
        <v>0</v>
      </c>
      <c r="AI235" s="603">
        <f t="shared" si="78"/>
        <v>0</v>
      </c>
      <c r="AJ235" s="298"/>
      <c r="AK235" s="299"/>
      <c r="AL235" s="601">
        <f t="shared" si="79"/>
        <v>0</v>
      </c>
      <c r="AM235" s="604">
        <f t="shared" si="80"/>
        <v>0</v>
      </c>
      <c r="AN235" s="306"/>
      <c r="AO235" s="307"/>
      <c r="AP235" s="298"/>
      <c r="AQ235" s="307"/>
      <c r="AR235" s="298"/>
      <c r="AS235" s="307"/>
      <c r="AT235" s="298"/>
      <c r="AU235" s="307"/>
      <c r="AV235" s="601">
        <f t="shared" si="81"/>
        <v>0</v>
      </c>
      <c r="AW235" s="609">
        <f t="shared" si="82"/>
        <v>0</v>
      </c>
      <c r="AX235" s="603">
        <f t="shared" si="83"/>
        <v>0</v>
      </c>
      <c r="AY235" s="610">
        <f t="shared" si="84"/>
        <v>0</v>
      </c>
      <c r="AZ235" s="611">
        <f t="shared" si="85"/>
        <v>1950.5</v>
      </c>
      <c r="BA235" s="603">
        <f t="shared" si="86"/>
        <v>2277.2666666666669</v>
      </c>
    </row>
    <row r="236" spans="1:53">
      <c r="A236" s="475" t="s">
        <v>30</v>
      </c>
      <c r="B236" s="367" t="s">
        <v>814</v>
      </c>
      <c r="C236" s="479"/>
      <c r="D236" s="504">
        <v>163286</v>
      </c>
      <c r="E236" s="505">
        <v>1</v>
      </c>
      <c r="F236" s="296" t="s">
        <v>52</v>
      </c>
      <c r="G236" s="297" t="s">
        <v>52</v>
      </c>
      <c r="H236" s="298">
        <v>11693</v>
      </c>
      <c r="I236" s="299">
        <v>12603</v>
      </c>
      <c r="J236" s="298">
        <v>367102</v>
      </c>
      <c r="K236" s="299">
        <v>369475</v>
      </c>
      <c r="L236" s="298">
        <v>39478</v>
      </c>
      <c r="M236" s="299">
        <v>38207</v>
      </c>
      <c r="N236" s="298">
        <v>380945</v>
      </c>
      <c r="O236" s="299">
        <v>379654</v>
      </c>
      <c r="P236" s="601">
        <f t="shared" si="69"/>
        <v>799218</v>
      </c>
      <c r="Q236" s="602">
        <f t="shared" si="70"/>
        <v>26640.6</v>
      </c>
      <c r="R236" s="603">
        <f t="shared" si="71"/>
        <v>799939</v>
      </c>
      <c r="S236" s="604">
        <f t="shared" si="72"/>
        <v>26664.633333333335</v>
      </c>
      <c r="T236" s="298"/>
      <c r="U236" s="299"/>
      <c r="V236" s="601">
        <f t="shared" si="73"/>
        <v>0</v>
      </c>
      <c r="W236" s="605">
        <f t="shared" si="74"/>
        <v>0</v>
      </c>
      <c r="X236" s="305"/>
      <c r="Y236" s="299"/>
      <c r="Z236" s="298"/>
      <c r="AA236" s="299"/>
      <c r="AB236" s="298"/>
      <c r="AC236" s="299"/>
      <c r="AD236" s="298"/>
      <c r="AE236" s="299"/>
      <c r="AF236" s="601">
        <f t="shared" si="75"/>
        <v>0</v>
      </c>
      <c r="AG236" s="602">
        <f t="shared" si="76"/>
        <v>0</v>
      </c>
      <c r="AH236" s="603">
        <f t="shared" si="77"/>
        <v>0</v>
      </c>
      <c r="AI236" s="603">
        <f t="shared" si="78"/>
        <v>0</v>
      </c>
      <c r="AJ236" s="298"/>
      <c r="AK236" s="299"/>
      <c r="AL236" s="601">
        <f t="shared" si="79"/>
        <v>0</v>
      </c>
      <c r="AM236" s="604">
        <f t="shared" si="80"/>
        <v>0</v>
      </c>
      <c r="AN236" s="306">
        <v>2380</v>
      </c>
      <c r="AO236" s="307">
        <v>2517</v>
      </c>
      <c r="AP236" s="298">
        <v>68189.5</v>
      </c>
      <c r="AQ236" s="307">
        <v>68369</v>
      </c>
      <c r="AR236" s="298">
        <v>12528</v>
      </c>
      <c r="AS236" s="307">
        <v>12990</v>
      </c>
      <c r="AT236" s="298">
        <v>73447</v>
      </c>
      <c r="AU236" s="307">
        <v>74997</v>
      </c>
      <c r="AV236" s="601">
        <f t="shared" si="81"/>
        <v>156544.5</v>
      </c>
      <c r="AW236" s="609">
        <f t="shared" si="82"/>
        <v>6522.6875</v>
      </c>
      <c r="AX236" s="603">
        <f t="shared" si="83"/>
        <v>158873</v>
      </c>
      <c r="AY236" s="610">
        <f t="shared" si="84"/>
        <v>6619.708333333333</v>
      </c>
      <c r="AZ236" s="611">
        <f t="shared" si="85"/>
        <v>33163.287499999999</v>
      </c>
      <c r="BA236" s="603">
        <f t="shared" si="86"/>
        <v>33284.341666666667</v>
      </c>
    </row>
    <row r="237" spans="1:53">
      <c r="A237" s="475" t="s">
        <v>30</v>
      </c>
      <c r="B237" s="478" t="s">
        <v>816</v>
      </c>
      <c r="C237" s="506" t="s">
        <v>841</v>
      </c>
      <c r="D237" s="504">
        <v>163453</v>
      </c>
      <c r="E237" s="507">
        <v>2</v>
      </c>
      <c r="F237" s="296" t="s">
        <v>52</v>
      </c>
      <c r="G237" s="297" t="s">
        <v>52</v>
      </c>
      <c r="H237" s="298">
        <v>548</v>
      </c>
      <c r="I237" s="299">
        <v>1117</v>
      </c>
      <c r="J237" s="298">
        <v>85965</v>
      </c>
      <c r="K237" s="299">
        <v>91176</v>
      </c>
      <c r="L237" s="298">
        <v>2699</v>
      </c>
      <c r="M237" s="299">
        <v>7556</v>
      </c>
      <c r="N237" s="298">
        <v>92008</v>
      </c>
      <c r="O237" s="299">
        <v>91204</v>
      </c>
      <c r="P237" s="601">
        <f t="shared" si="69"/>
        <v>181220</v>
      </c>
      <c r="Q237" s="602">
        <f t="shared" si="70"/>
        <v>6040.666666666667</v>
      </c>
      <c r="R237" s="603">
        <f t="shared" si="71"/>
        <v>191053</v>
      </c>
      <c r="S237" s="604">
        <f t="shared" si="72"/>
        <v>6368.4333333333334</v>
      </c>
      <c r="T237" s="298"/>
      <c r="U237" s="299"/>
      <c r="V237" s="601">
        <f t="shared" si="73"/>
        <v>0</v>
      </c>
      <c r="W237" s="605">
        <f t="shared" si="74"/>
        <v>0</v>
      </c>
      <c r="X237" s="305"/>
      <c r="Y237" s="299"/>
      <c r="Z237" s="298"/>
      <c r="AA237" s="299"/>
      <c r="AB237" s="298"/>
      <c r="AC237" s="299"/>
      <c r="AD237" s="298"/>
      <c r="AE237" s="299"/>
      <c r="AF237" s="601">
        <f t="shared" si="75"/>
        <v>0</v>
      </c>
      <c r="AG237" s="602">
        <f t="shared" si="76"/>
        <v>0</v>
      </c>
      <c r="AH237" s="603">
        <f t="shared" si="77"/>
        <v>0</v>
      </c>
      <c r="AI237" s="603">
        <f t="shared" si="78"/>
        <v>0</v>
      </c>
      <c r="AJ237" s="298"/>
      <c r="AK237" s="299"/>
      <c r="AL237" s="601">
        <f t="shared" si="79"/>
        <v>0</v>
      </c>
      <c r="AM237" s="604">
        <f t="shared" si="80"/>
        <v>0</v>
      </c>
      <c r="AN237" s="306">
        <v>0</v>
      </c>
      <c r="AO237" s="307">
        <v>36</v>
      </c>
      <c r="AP237" s="298">
        <v>8382</v>
      </c>
      <c r="AQ237" s="307">
        <v>9482</v>
      </c>
      <c r="AR237" s="298">
        <v>300</v>
      </c>
      <c r="AS237" s="307">
        <v>869</v>
      </c>
      <c r="AT237" s="298">
        <v>9221</v>
      </c>
      <c r="AU237" s="307">
        <v>10296</v>
      </c>
      <c r="AV237" s="601">
        <f t="shared" si="81"/>
        <v>17903</v>
      </c>
      <c r="AW237" s="609">
        <f t="shared" si="82"/>
        <v>745.95833333333337</v>
      </c>
      <c r="AX237" s="603">
        <f t="shared" si="83"/>
        <v>20683</v>
      </c>
      <c r="AY237" s="610">
        <f t="shared" si="84"/>
        <v>861.79166666666663</v>
      </c>
      <c r="AZ237" s="611">
        <f t="shared" si="85"/>
        <v>6786.625</v>
      </c>
      <c r="BA237" s="603">
        <f t="shared" si="86"/>
        <v>7230.2250000000004</v>
      </c>
    </row>
    <row r="238" spans="1:53">
      <c r="A238" s="475" t="s">
        <v>30</v>
      </c>
      <c r="B238" s="367" t="s">
        <v>815</v>
      </c>
      <c r="C238" s="479"/>
      <c r="D238" s="504">
        <v>163268</v>
      </c>
      <c r="E238" s="505">
        <v>2</v>
      </c>
      <c r="F238" s="296" t="s">
        <v>52</v>
      </c>
      <c r="G238" s="297" t="s">
        <v>52</v>
      </c>
      <c r="H238" s="298">
        <v>4591</v>
      </c>
      <c r="I238" s="299">
        <v>4810</v>
      </c>
      <c r="J238" s="298">
        <v>129726.5</v>
      </c>
      <c r="K238" s="299">
        <v>132978.5</v>
      </c>
      <c r="L238" s="298">
        <v>16981.5</v>
      </c>
      <c r="M238" s="299">
        <v>16631.5</v>
      </c>
      <c r="N238" s="298">
        <v>139121.5</v>
      </c>
      <c r="O238" s="299">
        <v>143350</v>
      </c>
      <c r="P238" s="601">
        <f t="shared" si="69"/>
        <v>290420.5</v>
      </c>
      <c r="Q238" s="602">
        <f t="shared" si="70"/>
        <v>9680.6833333333325</v>
      </c>
      <c r="R238" s="603">
        <f t="shared" si="71"/>
        <v>297770</v>
      </c>
      <c r="S238" s="604">
        <f t="shared" si="72"/>
        <v>9925.6666666666661</v>
      </c>
      <c r="T238" s="298"/>
      <c r="U238" s="299"/>
      <c r="V238" s="601">
        <f t="shared" si="73"/>
        <v>0</v>
      </c>
      <c r="W238" s="605">
        <f t="shared" si="74"/>
        <v>0</v>
      </c>
      <c r="X238" s="305"/>
      <c r="Y238" s="299"/>
      <c r="Z238" s="298"/>
      <c r="AA238" s="299"/>
      <c r="AB238" s="298"/>
      <c r="AC238" s="299"/>
      <c r="AD238" s="298"/>
      <c r="AE238" s="299"/>
      <c r="AF238" s="601">
        <f t="shared" si="75"/>
        <v>0</v>
      </c>
      <c r="AG238" s="602">
        <f t="shared" si="76"/>
        <v>0</v>
      </c>
      <c r="AH238" s="603">
        <f t="shared" si="77"/>
        <v>0</v>
      </c>
      <c r="AI238" s="603">
        <f t="shared" si="78"/>
        <v>0</v>
      </c>
      <c r="AJ238" s="298"/>
      <c r="AK238" s="299"/>
      <c r="AL238" s="601">
        <f t="shared" si="79"/>
        <v>0</v>
      </c>
      <c r="AM238" s="604">
        <f t="shared" si="80"/>
        <v>0</v>
      </c>
      <c r="AN238" s="306">
        <v>190</v>
      </c>
      <c r="AO238" s="307">
        <v>73</v>
      </c>
      <c r="AP238" s="298">
        <v>14872</v>
      </c>
      <c r="AQ238" s="307">
        <v>15580</v>
      </c>
      <c r="AR238" s="298">
        <v>3669</v>
      </c>
      <c r="AS238" s="307">
        <v>2673</v>
      </c>
      <c r="AT238" s="298">
        <v>16163</v>
      </c>
      <c r="AU238" s="307">
        <v>15512</v>
      </c>
      <c r="AV238" s="601">
        <f t="shared" si="81"/>
        <v>34894</v>
      </c>
      <c r="AW238" s="609">
        <f t="shared" si="82"/>
        <v>1453.9166666666667</v>
      </c>
      <c r="AX238" s="603">
        <f t="shared" si="83"/>
        <v>33838</v>
      </c>
      <c r="AY238" s="610">
        <f t="shared" si="84"/>
        <v>1409.9166666666667</v>
      </c>
      <c r="AZ238" s="611">
        <f t="shared" si="85"/>
        <v>11134.599999999999</v>
      </c>
      <c r="BA238" s="603">
        <f t="shared" si="86"/>
        <v>11335.583333333332</v>
      </c>
    </row>
    <row r="239" spans="1:53">
      <c r="A239" s="475" t="s">
        <v>30</v>
      </c>
      <c r="B239" s="367" t="s">
        <v>817</v>
      </c>
      <c r="C239" s="479"/>
      <c r="D239" s="504">
        <v>164076</v>
      </c>
      <c r="E239" s="505">
        <v>3</v>
      </c>
      <c r="F239" s="296" t="s">
        <v>52</v>
      </c>
      <c r="G239" s="297" t="s">
        <v>52</v>
      </c>
      <c r="H239" s="298">
        <v>6513</v>
      </c>
      <c r="I239" s="299">
        <v>7090</v>
      </c>
      <c r="J239" s="298">
        <v>229000</v>
      </c>
      <c r="K239" s="299">
        <v>230185.5</v>
      </c>
      <c r="L239" s="298">
        <v>27103</v>
      </c>
      <c r="M239" s="299">
        <v>25979</v>
      </c>
      <c r="N239" s="298">
        <v>244099.5</v>
      </c>
      <c r="O239" s="299">
        <v>243052</v>
      </c>
      <c r="P239" s="601">
        <f t="shared" si="69"/>
        <v>506715.5</v>
      </c>
      <c r="Q239" s="602">
        <f t="shared" si="70"/>
        <v>16890.516666666666</v>
      </c>
      <c r="R239" s="603">
        <f t="shared" si="71"/>
        <v>506306.5</v>
      </c>
      <c r="S239" s="604">
        <f t="shared" si="72"/>
        <v>16876.883333333335</v>
      </c>
      <c r="T239" s="298"/>
      <c r="U239" s="299"/>
      <c r="V239" s="601">
        <f t="shared" si="73"/>
        <v>0</v>
      </c>
      <c r="W239" s="605">
        <f t="shared" si="74"/>
        <v>0</v>
      </c>
      <c r="X239" s="305"/>
      <c r="Y239" s="299"/>
      <c r="Z239" s="298"/>
      <c r="AA239" s="299"/>
      <c r="AB239" s="298"/>
      <c r="AC239" s="299"/>
      <c r="AD239" s="298"/>
      <c r="AE239" s="299"/>
      <c r="AF239" s="601">
        <f t="shared" si="75"/>
        <v>0</v>
      </c>
      <c r="AG239" s="602">
        <f t="shared" si="76"/>
        <v>0</v>
      </c>
      <c r="AH239" s="603">
        <f t="shared" si="77"/>
        <v>0</v>
      </c>
      <c r="AI239" s="603">
        <f t="shared" si="78"/>
        <v>0</v>
      </c>
      <c r="AJ239" s="298"/>
      <c r="AK239" s="299"/>
      <c r="AL239" s="601">
        <f t="shared" si="79"/>
        <v>0</v>
      </c>
      <c r="AM239" s="604">
        <f t="shared" si="80"/>
        <v>0</v>
      </c>
      <c r="AN239" s="306">
        <v>1237</v>
      </c>
      <c r="AO239" s="307">
        <v>1279</v>
      </c>
      <c r="AP239" s="298">
        <v>22850.5</v>
      </c>
      <c r="AQ239" s="307">
        <v>23762.5</v>
      </c>
      <c r="AR239" s="298">
        <v>9437</v>
      </c>
      <c r="AS239" s="307">
        <v>9276</v>
      </c>
      <c r="AT239" s="298">
        <v>24607</v>
      </c>
      <c r="AU239" s="307">
        <v>23201.5</v>
      </c>
      <c r="AV239" s="601">
        <f t="shared" si="81"/>
        <v>58131.5</v>
      </c>
      <c r="AW239" s="609">
        <f t="shared" si="82"/>
        <v>2422.1458333333335</v>
      </c>
      <c r="AX239" s="603">
        <f t="shared" si="83"/>
        <v>57519</v>
      </c>
      <c r="AY239" s="610">
        <f t="shared" si="84"/>
        <v>2396.625</v>
      </c>
      <c r="AZ239" s="611">
        <f t="shared" si="85"/>
        <v>19312.662499999999</v>
      </c>
      <c r="BA239" s="603">
        <f t="shared" si="86"/>
        <v>19273.508333333335</v>
      </c>
    </row>
    <row r="240" spans="1:53">
      <c r="A240" s="475" t="s">
        <v>30</v>
      </c>
      <c r="B240" s="367" t="s">
        <v>818</v>
      </c>
      <c r="C240" s="479"/>
      <c r="D240" s="504">
        <v>162007</v>
      </c>
      <c r="E240" s="505">
        <v>4</v>
      </c>
      <c r="F240" s="296" t="s">
        <v>52</v>
      </c>
      <c r="G240" s="297" t="s">
        <v>52</v>
      </c>
      <c r="H240" s="298">
        <v>1428</v>
      </c>
      <c r="I240" s="299">
        <v>1098</v>
      </c>
      <c r="J240" s="298">
        <v>55706</v>
      </c>
      <c r="K240" s="299">
        <v>55954</v>
      </c>
      <c r="L240" s="298">
        <v>4645</v>
      </c>
      <c r="M240" s="299">
        <v>6095</v>
      </c>
      <c r="N240" s="298">
        <v>59941</v>
      </c>
      <c r="O240" s="299">
        <v>59470</v>
      </c>
      <c r="P240" s="601">
        <f t="shared" si="69"/>
        <v>121720</v>
      </c>
      <c r="Q240" s="602">
        <f t="shared" si="70"/>
        <v>4057.3333333333335</v>
      </c>
      <c r="R240" s="603">
        <f t="shared" si="71"/>
        <v>122617</v>
      </c>
      <c r="S240" s="604">
        <f t="shared" si="72"/>
        <v>4087.2333333333331</v>
      </c>
      <c r="T240" s="298"/>
      <c r="U240" s="299"/>
      <c r="V240" s="601">
        <f t="shared" si="73"/>
        <v>0</v>
      </c>
      <c r="W240" s="605">
        <f t="shared" si="74"/>
        <v>0</v>
      </c>
      <c r="X240" s="305"/>
      <c r="Y240" s="299"/>
      <c r="Z240" s="298"/>
      <c r="AA240" s="299"/>
      <c r="AB240" s="298"/>
      <c r="AC240" s="299"/>
      <c r="AD240" s="298"/>
      <c r="AE240" s="299"/>
      <c r="AF240" s="601">
        <f t="shared" si="75"/>
        <v>0</v>
      </c>
      <c r="AG240" s="602">
        <f t="shared" si="76"/>
        <v>0</v>
      </c>
      <c r="AH240" s="603">
        <f t="shared" si="77"/>
        <v>0</v>
      </c>
      <c r="AI240" s="603">
        <f t="shared" si="78"/>
        <v>0</v>
      </c>
      <c r="AJ240" s="298"/>
      <c r="AK240" s="299"/>
      <c r="AL240" s="601">
        <f t="shared" si="79"/>
        <v>0</v>
      </c>
      <c r="AM240" s="604">
        <f t="shared" si="80"/>
        <v>0</v>
      </c>
      <c r="AN240" s="306">
        <v>402</v>
      </c>
      <c r="AO240" s="307">
        <v>225</v>
      </c>
      <c r="AP240" s="298">
        <v>7250</v>
      </c>
      <c r="AQ240" s="307">
        <v>7000</v>
      </c>
      <c r="AR240" s="298">
        <v>1074</v>
      </c>
      <c r="AS240" s="307">
        <v>1138</v>
      </c>
      <c r="AT240" s="298">
        <v>7606</v>
      </c>
      <c r="AU240" s="307">
        <v>7603</v>
      </c>
      <c r="AV240" s="601">
        <f t="shared" si="81"/>
        <v>16332</v>
      </c>
      <c r="AW240" s="609">
        <f t="shared" si="82"/>
        <v>680.5</v>
      </c>
      <c r="AX240" s="603">
        <f t="shared" si="83"/>
        <v>15966</v>
      </c>
      <c r="AY240" s="610">
        <f t="shared" si="84"/>
        <v>665.25</v>
      </c>
      <c r="AZ240" s="611">
        <f t="shared" si="85"/>
        <v>4737.8333333333339</v>
      </c>
      <c r="BA240" s="603">
        <f t="shared" si="86"/>
        <v>4752.4833333333336</v>
      </c>
    </row>
    <row r="241" spans="1:53">
      <c r="A241" s="475" t="s">
        <v>30</v>
      </c>
      <c r="B241" s="478" t="s">
        <v>819</v>
      </c>
      <c r="C241" s="479" t="s">
        <v>842</v>
      </c>
      <c r="D241" s="504">
        <v>162283</v>
      </c>
      <c r="E241" s="505">
        <v>4</v>
      </c>
      <c r="F241" s="296" t="s">
        <v>52</v>
      </c>
      <c r="G241" s="297" t="s">
        <v>52</v>
      </c>
      <c r="H241" s="298">
        <v>941</v>
      </c>
      <c r="I241" s="299">
        <v>858</v>
      </c>
      <c r="J241" s="298">
        <v>43335</v>
      </c>
      <c r="K241" s="299">
        <v>41129</v>
      </c>
      <c r="L241" s="298">
        <v>5706</v>
      </c>
      <c r="M241" s="299">
        <v>6593</v>
      </c>
      <c r="N241" s="298">
        <v>43485</v>
      </c>
      <c r="O241" s="299">
        <v>42997</v>
      </c>
      <c r="P241" s="601">
        <f t="shared" si="69"/>
        <v>93467</v>
      </c>
      <c r="Q241" s="602">
        <f t="shared" si="70"/>
        <v>3115.5666666666666</v>
      </c>
      <c r="R241" s="603">
        <f t="shared" si="71"/>
        <v>91577</v>
      </c>
      <c r="S241" s="604">
        <f t="shared" si="72"/>
        <v>3052.5666666666666</v>
      </c>
      <c r="T241" s="298"/>
      <c r="U241" s="299"/>
      <c r="V241" s="601">
        <f t="shared" si="73"/>
        <v>0</v>
      </c>
      <c r="W241" s="605">
        <f t="shared" si="74"/>
        <v>0</v>
      </c>
      <c r="X241" s="305"/>
      <c r="Y241" s="299"/>
      <c r="Z241" s="298"/>
      <c r="AA241" s="299"/>
      <c r="AB241" s="298"/>
      <c r="AC241" s="299"/>
      <c r="AD241" s="298"/>
      <c r="AE241" s="299"/>
      <c r="AF241" s="601">
        <f t="shared" si="75"/>
        <v>0</v>
      </c>
      <c r="AG241" s="602">
        <f t="shared" si="76"/>
        <v>0</v>
      </c>
      <c r="AH241" s="603">
        <f t="shared" si="77"/>
        <v>0</v>
      </c>
      <c r="AI241" s="603">
        <f t="shared" si="78"/>
        <v>0</v>
      </c>
      <c r="AJ241" s="298"/>
      <c r="AK241" s="299"/>
      <c r="AL241" s="601">
        <f t="shared" si="79"/>
        <v>0</v>
      </c>
      <c r="AM241" s="604">
        <f t="shared" si="80"/>
        <v>0</v>
      </c>
      <c r="AN241" s="306">
        <v>170</v>
      </c>
      <c r="AO241" s="307">
        <v>150</v>
      </c>
      <c r="AP241" s="298">
        <v>3816</v>
      </c>
      <c r="AQ241" s="307">
        <v>3230</v>
      </c>
      <c r="AR241" s="298">
        <v>594</v>
      </c>
      <c r="AS241" s="307">
        <v>577</v>
      </c>
      <c r="AT241" s="298">
        <v>2964</v>
      </c>
      <c r="AU241" s="307">
        <v>2909</v>
      </c>
      <c r="AV241" s="601">
        <f t="shared" si="81"/>
        <v>7544</v>
      </c>
      <c r="AW241" s="609">
        <f t="shared" si="82"/>
        <v>314.33333333333331</v>
      </c>
      <c r="AX241" s="603">
        <f t="shared" si="83"/>
        <v>6866</v>
      </c>
      <c r="AY241" s="610">
        <f t="shared" si="84"/>
        <v>286.08333333333331</v>
      </c>
      <c r="AZ241" s="611">
        <f t="shared" si="85"/>
        <v>3429.9</v>
      </c>
      <c r="BA241" s="603">
        <f t="shared" si="86"/>
        <v>3338.65</v>
      </c>
    </row>
    <row r="242" spans="1:53">
      <c r="A242" s="475" t="s">
        <v>30</v>
      </c>
      <c r="B242" s="367" t="s">
        <v>820</v>
      </c>
      <c r="C242" s="479"/>
      <c r="D242" s="504">
        <v>162584</v>
      </c>
      <c r="E242" s="505">
        <v>4</v>
      </c>
      <c r="F242" s="296" t="s">
        <v>52</v>
      </c>
      <c r="G242" s="297" t="s">
        <v>52</v>
      </c>
      <c r="H242" s="298">
        <v>2274</v>
      </c>
      <c r="I242" s="299">
        <v>2341</v>
      </c>
      <c r="J242" s="298">
        <v>62202.5</v>
      </c>
      <c r="K242" s="299">
        <v>63707.5</v>
      </c>
      <c r="L242" s="298">
        <v>4676</v>
      </c>
      <c r="M242" s="299">
        <v>4869</v>
      </c>
      <c r="N242" s="298">
        <v>67931.5</v>
      </c>
      <c r="O242" s="299">
        <v>66062.5</v>
      </c>
      <c r="P242" s="601">
        <f t="shared" si="69"/>
        <v>137084</v>
      </c>
      <c r="Q242" s="602">
        <f t="shared" si="70"/>
        <v>4569.4666666666662</v>
      </c>
      <c r="R242" s="603">
        <f t="shared" si="71"/>
        <v>136980</v>
      </c>
      <c r="S242" s="604">
        <f t="shared" si="72"/>
        <v>4566</v>
      </c>
      <c r="T242" s="298"/>
      <c r="U242" s="299"/>
      <c r="V242" s="601">
        <f t="shared" si="73"/>
        <v>0</v>
      </c>
      <c r="W242" s="605">
        <f t="shared" si="74"/>
        <v>0</v>
      </c>
      <c r="X242" s="305"/>
      <c r="Y242" s="299"/>
      <c r="Z242" s="298"/>
      <c r="AA242" s="299"/>
      <c r="AB242" s="298"/>
      <c r="AC242" s="299"/>
      <c r="AD242" s="298"/>
      <c r="AE242" s="299"/>
      <c r="AF242" s="601">
        <f t="shared" si="75"/>
        <v>0</v>
      </c>
      <c r="AG242" s="602">
        <f t="shared" si="76"/>
        <v>0</v>
      </c>
      <c r="AH242" s="603">
        <f t="shared" si="77"/>
        <v>0</v>
      </c>
      <c r="AI242" s="603">
        <f t="shared" si="78"/>
        <v>0</v>
      </c>
      <c r="AJ242" s="298"/>
      <c r="AK242" s="299"/>
      <c r="AL242" s="601">
        <f t="shared" si="79"/>
        <v>0</v>
      </c>
      <c r="AM242" s="604">
        <f t="shared" si="80"/>
        <v>0</v>
      </c>
      <c r="AN242" s="306">
        <v>462</v>
      </c>
      <c r="AO242" s="307">
        <v>435</v>
      </c>
      <c r="AP242" s="298">
        <v>4246</v>
      </c>
      <c r="AQ242" s="307">
        <v>4102</v>
      </c>
      <c r="AR242" s="298">
        <v>2247</v>
      </c>
      <c r="AS242" s="307">
        <v>1979</v>
      </c>
      <c r="AT242" s="298">
        <v>4168</v>
      </c>
      <c r="AU242" s="307">
        <v>4398.5</v>
      </c>
      <c r="AV242" s="601">
        <f t="shared" si="81"/>
        <v>11123</v>
      </c>
      <c r="AW242" s="609">
        <f t="shared" si="82"/>
        <v>463.45833333333331</v>
      </c>
      <c r="AX242" s="603">
        <f t="shared" si="83"/>
        <v>10914.5</v>
      </c>
      <c r="AY242" s="610">
        <f t="shared" si="84"/>
        <v>454.77083333333331</v>
      </c>
      <c r="AZ242" s="611">
        <f t="shared" si="85"/>
        <v>5032.9249999999993</v>
      </c>
      <c r="BA242" s="603">
        <f t="shared" si="86"/>
        <v>5020.770833333333</v>
      </c>
    </row>
    <row r="243" spans="1:53">
      <c r="A243" s="475" t="s">
        <v>30</v>
      </c>
      <c r="B243" s="367" t="s">
        <v>821</v>
      </c>
      <c r="C243" s="479"/>
      <c r="D243" s="504">
        <v>163851</v>
      </c>
      <c r="E243" s="505">
        <v>4</v>
      </c>
      <c r="F243" s="296" t="s">
        <v>52</v>
      </c>
      <c r="G243" s="297" t="s">
        <v>52</v>
      </c>
      <c r="H243" s="298">
        <v>6229</v>
      </c>
      <c r="I243" s="299">
        <v>6016</v>
      </c>
      <c r="J243" s="298">
        <v>103373</v>
      </c>
      <c r="K243" s="299">
        <v>105704</v>
      </c>
      <c r="L243" s="298">
        <v>6229</v>
      </c>
      <c r="M243" s="299">
        <v>6776</v>
      </c>
      <c r="N243" s="298">
        <v>110282</v>
      </c>
      <c r="O243" s="299">
        <v>113357</v>
      </c>
      <c r="P243" s="601">
        <f t="shared" si="69"/>
        <v>226113</v>
      </c>
      <c r="Q243" s="602">
        <f t="shared" si="70"/>
        <v>7537.1</v>
      </c>
      <c r="R243" s="603">
        <f t="shared" si="71"/>
        <v>231853</v>
      </c>
      <c r="S243" s="604">
        <f t="shared" si="72"/>
        <v>7728.4333333333334</v>
      </c>
      <c r="T243" s="298"/>
      <c r="U243" s="299"/>
      <c r="V243" s="601">
        <f t="shared" si="73"/>
        <v>0</v>
      </c>
      <c r="W243" s="605">
        <f t="shared" si="74"/>
        <v>0</v>
      </c>
      <c r="X243" s="305"/>
      <c r="Y243" s="299"/>
      <c r="Z243" s="298"/>
      <c r="AA243" s="299"/>
      <c r="AB243" s="298"/>
      <c r="AC243" s="299"/>
      <c r="AD243" s="298"/>
      <c r="AE243" s="299"/>
      <c r="AF243" s="601">
        <f t="shared" si="75"/>
        <v>0</v>
      </c>
      <c r="AG243" s="602">
        <f t="shared" si="76"/>
        <v>0</v>
      </c>
      <c r="AH243" s="603">
        <f t="shared" si="77"/>
        <v>0</v>
      </c>
      <c r="AI243" s="603">
        <f t="shared" si="78"/>
        <v>0</v>
      </c>
      <c r="AJ243" s="298"/>
      <c r="AK243" s="299"/>
      <c r="AL243" s="601">
        <f t="shared" si="79"/>
        <v>0</v>
      </c>
      <c r="AM243" s="604">
        <f t="shared" si="80"/>
        <v>0</v>
      </c>
      <c r="AN243" s="306">
        <v>377</v>
      </c>
      <c r="AO243" s="307">
        <v>358</v>
      </c>
      <c r="AP243" s="298">
        <v>4437</v>
      </c>
      <c r="AQ243" s="307">
        <v>4679</v>
      </c>
      <c r="AR243" s="298">
        <v>1328</v>
      </c>
      <c r="AS243" s="307">
        <v>1523</v>
      </c>
      <c r="AT243" s="298">
        <v>4735</v>
      </c>
      <c r="AU243" s="307">
        <v>5008</v>
      </c>
      <c r="AV243" s="601">
        <f t="shared" si="81"/>
        <v>10877</v>
      </c>
      <c r="AW243" s="609">
        <f t="shared" si="82"/>
        <v>453.20833333333331</v>
      </c>
      <c r="AX243" s="603">
        <f t="shared" si="83"/>
        <v>11568</v>
      </c>
      <c r="AY243" s="610">
        <f t="shared" si="84"/>
        <v>482</v>
      </c>
      <c r="AZ243" s="611">
        <f t="shared" si="85"/>
        <v>7990.3083333333334</v>
      </c>
      <c r="BA243" s="603">
        <f t="shared" si="86"/>
        <v>8210.4333333333343</v>
      </c>
    </row>
    <row r="244" spans="1:53">
      <c r="A244" s="475" t="s">
        <v>30</v>
      </c>
      <c r="B244" s="367" t="s">
        <v>822</v>
      </c>
      <c r="C244" s="479"/>
      <c r="D244" s="504">
        <v>161873</v>
      </c>
      <c r="E244" s="505">
        <v>4</v>
      </c>
      <c r="F244" s="296" t="s">
        <v>52</v>
      </c>
      <c r="G244" s="297" t="s">
        <v>52</v>
      </c>
      <c r="H244" s="298">
        <v>75</v>
      </c>
      <c r="I244" s="299">
        <v>45</v>
      </c>
      <c r="J244" s="298">
        <v>30411</v>
      </c>
      <c r="K244" s="299">
        <v>32299</v>
      </c>
      <c r="L244" s="298">
        <v>4508</v>
      </c>
      <c r="M244" s="299">
        <v>4338</v>
      </c>
      <c r="N244" s="298">
        <v>34339</v>
      </c>
      <c r="O244" s="299">
        <v>34822</v>
      </c>
      <c r="P244" s="601">
        <f t="shared" si="69"/>
        <v>69333</v>
      </c>
      <c r="Q244" s="602">
        <f t="shared" si="70"/>
        <v>2311.1</v>
      </c>
      <c r="R244" s="603">
        <f t="shared" si="71"/>
        <v>71504</v>
      </c>
      <c r="S244" s="604">
        <f t="shared" si="72"/>
        <v>2383.4666666666667</v>
      </c>
      <c r="T244" s="298"/>
      <c r="U244" s="299"/>
      <c r="V244" s="601">
        <f t="shared" si="73"/>
        <v>0</v>
      </c>
      <c r="W244" s="605">
        <f t="shared" si="74"/>
        <v>0</v>
      </c>
      <c r="X244" s="305"/>
      <c r="Y244" s="299"/>
      <c r="Z244" s="298"/>
      <c r="AA244" s="299"/>
      <c r="AB244" s="298"/>
      <c r="AC244" s="299"/>
      <c r="AD244" s="298"/>
      <c r="AE244" s="299"/>
      <c r="AF244" s="601">
        <f t="shared" si="75"/>
        <v>0</v>
      </c>
      <c r="AG244" s="602">
        <f t="shared" si="76"/>
        <v>0</v>
      </c>
      <c r="AH244" s="603">
        <f t="shared" si="77"/>
        <v>0</v>
      </c>
      <c r="AI244" s="603">
        <f t="shared" si="78"/>
        <v>0</v>
      </c>
      <c r="AJ244" s="298"/>
      <c r="AK244" s="299"/>
      <c r="AL244" s="601">
        <f t="shared" si="79"/>
        <v>0</v>
      </c>
      <c r="AM244" s="604">
        <f t="shared" si="80"/>
        <v>0</v>
      </c>
      <c r="AN244" s="306">
        <v>36</v>
      </c>
      <c r="AO244" s="307">
        <v>45</v>
      </c>
      <c r="AP244" s="298">
        <v>25403</v>
      </c>
      <c r="AQ244" s="307">
        <v>25269</v>
      </c>
      <c r="AR244" s="298">
        <v>4927</v>
      </c>
      <c r="AS244" s="307">
        <v>4847</v>
      </c>
      <c r="AT244" s="298">
        <v>27164</v>
      </c>
      <c r="AU244" s="307">
        <v>26381</v>
      </c>
      <c r="AV244" s="601">
        <f t="shared" si="81"/>
        <v>57530</v>
      </c>
      <c r="AW244" s="609">
        <f t="shared" si="82"/>
        <v>2397.0833333333335</v>
      </c>
      <c r="AX244" s="603">
        <f t="shared" si="83"/>
        <v>56542</v>
      </c>
      <c r="AY244" s="610">
        <f t="shared" si="84"/>
        <v>2355.9166666666665</v>
      </c>
      <c r="AZ244" s="611">
        <f t="shared" si="85"/>
        <v>4708.1833333333334</v>
      </c>
      <c r="BA244" s="603">
        <f t="shared" si="86"/>
        <v>4739.3833333333332</v>
      </c>
    </row>
    <row r="245" spans="1:53">
      <c r="A245" s="475" t="s">
        <v>30</v>
      </c>
      <c r="B245" s="367" t="s">
        <v>823</v>
      </c>
      <c r="C245" s="479"/>
      <c r="D245" s="504">
        <v>163338</v>
      </c>
      <c r="E245" s="505">
        <v>4</v>
      </c>
      <c r="F245" s="296" t="s">
        <v>52</v>
      </c>
      <c r="G245" s="297" t="s">
        <v>52</v>
      </c>
      <c r="H245" s="298">
        <v>1458</v>
      </c>
      <c r="I245" s="299">
        <v>1412.5</v>
      </c>
      <c r="J245" s="298">
        <v>53501</v>
      </c>
      <c r="K245" s="299">
        <v>52785</v>
      </c>
      <c r="L245" s="298">
        <v>4393</v>
      </c>
      <c r="M245" s="299">
        <v>4186</v>
      </c>
      <c r="N245" s="298">
        <v>58125</v>
      </c>
      <c r="O245" s="299">
        <v>55688</v>
      </c>
      <c r="P245" s="601">
        <f t="shared" si="69"/>
        <v>117477</v>
      </c>
      <c r="Q245" s="602">
        <f t="shared" si="70"/>
        <v>3915.9</v>
      </c>
      <c r="R245" s="603">
        <f t="shared" si="71"/>
        <v>114071.5</v>
      </c>
      <c r="S245" s="604">
        <f t="shared" si="72"/>
        <v>3802.3833333333332</v>
      </c>
      <c r="T245" s="298"/>
      <c r="U245" s="299"/>
      <c r="V245" s="601">
        <f t="shared" si="73"/>
        <v>0</v>
      </c>
      <c r="W245" s="605">
        <f t="shared" si="74"/>
        <v>0</v>
      </c>
      <c r="X245" s="305"/>
      <c r="Y245" s="299"/>
      <c r="Z245" s="298"/>
      <c r="AA245" s="299"/>
      <c r="AB245" s="298"/>
      <c r="AC245" s="299"/>
      <c r="AD245" s="298"/>
      <c r="AE245" s="299"/>
      <c r="AF245" s="601">
        <f t="shared" si="75"/>
        <v>0</v>
      </c>
      <c r="AG245" s="602">
        <f t="shared" si="76"/>
        <v>0</v>
      </c>
      <c r="AH245" s="603">
        <f t="shared" si="77"/>
        <v>0</v>
      </c>
      <c r="AI245" s="603">
        <f t="shared" si="78"/>
        <v>0</v>
      </c>
      <c r="AJ245" s="298"/>
      <c r="AK245" s="299"/>
      <c r="AL245" s="601">
        <f t="shared" si="79"/>
        <v>0</v>
      </c>
      <c r="AM245" s="604">
        <f t="shared" si="80"/>
        <v>0</v>
      </c>
      <c r="AN245" s="306">
        <v>244</v>
      </c>
      <c r="AO245" s="307">
        <v>292</v>
      </c>
      <c r="AP245" s="298">
        <v>3447</v>
      </c>
      <c r="AQ245" s="307">
        <v>5190</v>
      </c>
      <c r="AR245" s="298">
        <v>1280</v>
      </c>
      <c r="AS245" s="307">
        <v>1261</v>
      </c>
      <c r="AT245" s="298">
        <v>4121</v>
      </c>
      <c r="AU245" s="307">
        <v>7285.5</v>
      </c>
      <c r="AV245" s="601">
        <f t="shared" si="81"/>
        <v>9092</v>
      </c>
      <c r="AW245" s="609">
        <f t="shared" si="82"/>
        <v>378.83333333333331</v>
      </c>
      <c r="AX245" s="603">
        <f t="shared" si="83"/>
        <v>14028.5</v>
      </c>
      <c r="AY245" s="610">
        <f t="shared" si="84"/>
        <v>584.52083333333337</v>
      </c>
      <c r="AZ245" s="611">
        <f t="shared" si="85"/>
        <v>4294.7333333333336</v>
      </c>
      <c r="BA245" s="603">
        <f t="shared" si="86"/>
        <v>4386.9041666666662</v>
      </c>
    </row>
    <row r="246" spans="1:53">
      <c r="A246" s="475" t="s">
        <v>30</v>
      </c>
      <c r="B246" s="478" t="s">
        <v>824</v>
      </c>
      <c r="C246" s="479" t="s">
        <v>842</v>
      </c>
      <c r="D246" s="504">
        <v>163912</v>
      </c>
      <c r="E246" s="505">
        <v>6</v>
      </c>
      <c r="F246" s="296" t="s">
        <v>52</v>
      </c>
      <c r="G246" s="297" t="s">
        <v>52</v>
      </c>
      <c r="H246" s="298">
        <v>0</v>
      </c>
      <c r="I246" s="299">
        <v>0</v>
      </c>
      <c r="J246" s="298">
        <v>29765</v>
      </c>
      <c r="K246" s="299">
        <v>30983.5</v>
      </c>
      <c r="L246" s="298">
        <v>1376</v>
      </c>
      <c r="M246" s="299">
        <v>1368</v>
      </c>
      <c r="N246" s="298">
        <v>31693.5</v>
      </c>
      <c r="O246" s="299">
        <v>32801</v>
      </c>
      <c r="P246" s="601">
        <f t="shared" si="69"/>
        <v>62834.5</v>
      </c>
      <c r="Q246" s="602">
        <f t="shared" si="70"/>
        <v>2094.4833333333331</v>
      </c>
      <c r="R246" s="603">
        <f t="shared" si="71"/>
        <v>65152.5</v>
      </c>
      <c r="S246" s="604">
        <f t="shared" si="72"/>
        <v>2171.75</v>
      </c>
      <c r="T246" s="298"/>
      <c r="U246" s="299"/>
      <c r="V246" s="601">
        <f t="shared" si="73"/>
        <v>0</v>
      </c>
      <c r="W246" s="605">
        <f t="shared" si="74"/>
        <v>0</v>
      </c>
      <c r="X246" s="305"/>
      <c r="Y246" s="299"/>
      <c r="Z246" s="298"/>
      <c r="AA246" s="299"/>
      <c r="AB246" s="298"/>
      <c r="AC246" s="299"/>
      <c r="AD246" s="298"/>
      <c r="AE246" s="299"/>
      <c r="AF246" s="601">
        <f t="shared" si="75"/>
        <v>0</v>
      </c>
      <c r="AG246" s="602">
        <f t="shared" si="76"/>
        <v>0</v>
      </c>
      <c r="AH246" s="603">
        <f t="shared" si="77"/>
        <v>0</v>
      </c>
      <c r="AI246" s="603">
        <f t="shared" si="78"/>
        <v>0</v>
      </c>
      <c r="AJ246" s="298"/>
      <c r="AK246" s="299"/>
      <c r="AL246" s="601">
        <f t="shared" si="79"/>
        <v>0</v>
      </c>
      <c r="AM246" s="604">
        <f t="shared" si="80"/>
        <v>0</v>
      </c>
      <c r="AN246" s="306">
        <v>0</v>
      </c>
      <c r="AO246" s="307">
        <v>0</v>
      </c>
      <c r="AP246" s="298">
        <v>883</v>
      </c>
      <c r="AQ246" s="307">
        <v>640</v>
      </c>
      <c r="AR246" s="298">
        <v>516</v>
      </c>
      <c r="AS246" s="307">
        <v>433</v>
      </c>
      <c r="AT246" s="298">
        <v>538</v>
      </c>
      <c r="AU246" s="307">
        <v>504</v>
      </c>
      <c r="AV246" s="601">
        <f t="shared" si="81"/>
        <v>1937</v>
      </c>
      <c r="AW246" s="609">
        <f t="shared" si="82"/>
        <v>80.708333333333329</v>
      </c>
      <c r="AX246" s="603">
        <f t="shared" si="83"/>
        <v>1577</v>
      </c>
      <c r="AY246" s="610">
        <f t="shared" si="84"/>
        <v>65.708333333333329</v>
      </c>
      <c r="AZ246" s="611">
        <f t="shared" si="85"/>
        <v>2175.1916666666666</v>
      </c>
      <c r="BA246" s="603">
        <f t="shared" si="86"/>
        <v>2237.4583333333335</v>
      </c>
    </row>
    <row r="247" spans="1:53">
      <c r="A247" s="475" t="s">
        <v>30</v>
      </c>
      <c r="B247" s="367" t="s">
        <v>825</v>
      </c>
      <c r="C247" s="479"/>
      <c r="D247" s="504">
        <v>161767</v>
      </c>
      <c r="E247" s="480">
        <v>8</v>
      </c>
      <c r="F247" s="296" t="s">
        <v>52</v>
      </c>
      <c r="G247" s="297" t="s">
        <v>52</v>
      </c>
      <c r="H247" s="298">
        <v>3344</v>
      </c>
      <c r="I247" s="299">
        <v>3846</v>
      </c>
      <c r="J247" s="298">
        <v>136501</v>
      </c>
      <c r="K247" s="299">
        <v>139707</v>
      </c>
      <c r="L247" s="298">
        <v>36181.5</v>
      </c>
      <c r="M247" s="299">
        <v>35448</v>
      </c>
      <c r="N247" s="298">
        <v>153948</v>
      </c>
      <c r="O247" s="299">
        <v>152723</v>
      </c>
      <c r="P247" s="601">
        <f t="shared" si="69"/>
        <v>329974.5</v>
      </c>
      <c r="Q247" s="602">
        <f t="shared" si="70"/>
        <v>10999.15</v>
      </c>
      <c r="R247" s="603">
        <f t="shared" si="71"/>
        <v>331724</v>
      </c>
      <c r="S247" s="604">
        <f t="shared" si="72"/>
        <v>11057.466666666667</v>
      </c>
      <c r="T247" s="298"/>
      <c r="U247" s="299"/>
      <c r="V247" s="601">
        <f t="shared" si="73"/>
        <v>0</v>
      </c>
      <c r="W247" s="605">
        <f t="shared" si="74"/>
        <v>0</v>
      </c>
      <c r="X247" s="305"/>
      <c r="Y247" s="299"/>
      <c r="Z247" s="298"/>
      <c r="AA247" s="299"/>
      <c r="AB247" s="298"/>
      <c r="AC247" s="299"/>
      <c r="AD247" s="298"/>
      <c r="AE247" s="299"/>
      <c r="AF247" s="601">
        <f t="shared" si="75"/>
        <v>0</v>
      </c>
      <c r="AG247" s="602">
        <f t="shared" si="76"/>
        <v>0</v>
      </c>
      <c r="AH247" s="603">
        <f t="shared" si="77"/>
        <v>0</v>
      </c>
      <c r="AI247" s="603">
        <f t="shared" si="78"/>
        <v>0</v>
      </c>
      <c r="AJ247" s="298"/>
      <c r="AK247" s="299"/>
      <c r="AL247" s="601">
        <f t="shared" si="79"/>
        <v>0</v>
      </c>
      <c r="AM247" s="604">
        <f t="shared" si="80"/>
        <v>0</v>
      </c>
      <c r="AN247" s="306"/>
      <c r="AO247" s="307"/>
      <c r="AP247" s="298"/>
      <c r="AQ247" s="307"/>
      <c r="AR247" s="298"/>
      <c r="AS247" s="307"/>
      <c r="AT247" s="298"/>
      <c r="AU247" s="307"/>
      <c r="AV247" s="601">
        <f t="shared" si="81"/>
        <v>0</v>
      </c>
      <c r="AW247" s="609">
        <f t="shared" si="82"/>
        <v>0</v>
      </c>
      <c r="AX247" s="603">
        <f t="shared" si="83"/>
        <v>0</v>
      </c>
      <c r="AY247" s="610">
        <f t="shared" si="84"/>
        <v>0</v>
      </c>
      <c r="AZ247" s="611">
        <f t="shared" si="85"/>
        <v>10999.15</v>
      </c>
      <c r="BA247" s="603">
        <f t="shared" si="86"/>
        <v>11057.466666666667</v>
      </c>
    </row>
    <row r="248" spans="1:53">
      <c r="A248" s="475" t="s">
        <v>30</v>
      </c>
      <c r="B248" s="478" t="s">
        <v>832</v>
      </c>
      <c r="C248" s="506" t="s">
        <v>844</v>
      </c>
      <c r="D248" s="504">
        <v>162122</v>
      </c>
      <c r="E248" s="507">
        <v>8</v>
      </c>
      <c r="F248" s="296" t="s">
        <v>52</v>
      </c>
      <c r="G248" s="297" t="s">
        <v>52</v>
      </c>
      <c r="H248" s="298">
        <v>0</v>
      </c>
      <c r="I248" s="299">
        <v>0</v>
      </c>
      <c r="J248" s="298">
        <v>70123</v>
      </c>
      <c r="K248" s="299">
        <v>72079</v>
      </c>
      <c r="L248" s="298">
        <v>15041</v>
      </c>
      <c r="M248" s="299">
        <v>16515</v>
      </c>
      <c r="N248" s="298">
        <v>78902</v>
      </c>
      <c r="O248" s="299">
        <v>81013</v>
      </c>
      <c r="P248" s="601">
        <f t="shared" si="69"/>
        <v>164066</v>
      </c>
      <c r="Q248" s="602">
        <f t="shared" si="70"/>
        <v>5468.8666666666668</v>
      </c>
      <c r="R248" s="603">
        <f t="shared" si="71"/>
        <v>169607</v>
      </c>
      <c r="S248" s="604">
        <f t="shared" si="72"/>
        <v>5653.5666666666666</v>
      </c>
      <c r="T248" s="298"/>
      <c r="U248" s="299"/>
      <c r="V248" s="601">
        <f t="shared" si="73"/>
        <v>0</v>
      </c>
      <c r="W248" s="605">
        <f t="shared" si="74"/>
        <v>0</v>
      </c>
      <c r="X248" s="305"/>
      <c r="Y248" s="299"/>
      <c r="Z248" s="298"/>
      <c r="AA248" s="299"/>
      <c r="AB248" s="298"/>
      <c r="AC248" s="299"/>
      <c r="AD248" s="298"/>
      <c r="AE248" s="299"/>
      <c r="AF248" s="601">
        <f t="shared" si="75"/>
        <v>0</v>
      </c>
      <c r="AG248" s="602">
        <f t="shared" si="76"/>
        <v>0</v>
      </c>
      <c r="AH248" s="603">
        <f t="shared" si="77"/>
        <v>0</v>
      </c>
      <c r="AI248" s="603">
        <f t="shared" si="78"/>
        <v>0</v>
      </c>
      <c r="AJ248" s="298"/>
      <c r="AK248" s="299"/>
      <c r="AL248" s="601">
        <f t="shared" si="79"/>
        <v>0</v>
      </c>
      <c r="AM248" s="604">
        <f t="shared" si="80"/>
        <v>0</v>
      </c>
      <c r="AN248" s="306"/>
      <c r="AO248" s="307"/>
      <c r="AP248" s="298"/>
      <c r="AQ248" s="307"/>
      <c r="AR248" s="298"/>
      <c r="AS248" s="307"/>
      <c r="AT248" s="298"/>
      <c r="AU248" s="307"/>
      <c r="AV248" s="601">
        <f t="shared" si="81"/>
        <v>0</v>
      </c>
      <c r="AW248" s="609">
        <f t="shared" si="82"/>
        <v>0</v>
      </c>
      <c r="AX248" s="603">
        <f t="shared" si="83"/>
        <v>0</v>
      </c>
      <c r="AY248" s="610">
        <f t="shared" si="84"/>
        <v>0</v>
      </c>
      <c r="AZ248" s="611">
        <f t="shared" si="85"/>
        <v>5468.8666666666668</v>
      </c>
      <c r="BA248" s="603">
        <f t="shared" si="86"/>
        <v>5653.5666666666666</v>
      </c>
    </row>
    <row r="249" spans="1:53">
      <c r="A249" s="475" t="s">
        <v>30</v>
      </c>
      <c r="B249" s="367" t="s">
        <v>826</v>
      </c>
      <c r="C249" s="479"/>
      <c r="D249" s="504">
        <v>434672</v>
      </c>
      <c r="E249" s="480">
        <v>8</v>
      </c>
      <c r="F249" s="296" t="s">
        <v>52</v>
      </c>
      <c r="G249" s="297" t="s">
        <v>52</v>
      </c>
      <c r="H249" s="298">
        <v>9749</v>
      </c>
      <c r="I249" s="299">
        <v>9757</v>
      </c>
      <c r="J249" s="298">
        <v>193428</v>
      </c>
      <c r="K249" s="299">
        <v>200719.5</v>
      </c>
      <c r="L249" s="298">
        <v>46022</v>
      </c>
      <c r="M249" s="299">
        <v>44985.5</v>
      </c>
      <c r="N249" s="298">
        <v>228185</v>
      </c>
      <c r="O249" s="299">
        <v>227945.5</v>
      </c>
      <c r="P249" s="601">
        <f t="shared" si="69"/>
        <v>477384</v>
      </c>
      <c r="Q249" s="602">
        <f t="shared" si="70"/>
        <v>15912.8</v>
      </c>
      <c r="R249" s="603">
        <f t="shared" si="71"/>
        <v>483407.5</v>
      </c>
      <c r="S249" s="604">
        <f t="shared" si="72"/>
        <v>16113.583333333334</v>
      </c>
      <c r="T249" s="298"/>
      <c r="U249" s="299"/>
      <c r="V249" s="601">
        <f t="shared" si="73"/>
        <v>0</v>
      </c>
      <c r="W249" s="605">
        <f t="shared" si="74"/>
        <v>0</v>
      </c>
      <c r="X249" s="305"/>
      <c r="Y249" s="299"/>
      <c r="Z249" s="298"/>
      <c r="AA249" s="299"/>
      <c r="AB249" s="298"/>
      <c r="AC249" s="299"/>
      <c r="AD249" s="298"/>
      <c r="AE249" s="299"/>
      <c r="AF249" s="601">
        <f t="shared" si="75"/>
        <v>0</v>
      </c>
      <c r="AG249" s="602">
        <f t="shared" si="76"/>
        <v>0</v>
      </c>
      <c r="AH249" s="603">
        <f t="shared" si="77"/>
        <v>0</v>
      </c>
      <c r="AI249" s="603">
        <f t="shared" si="78"/>
        <v>0</v>
      </c>
      <c r="AJ249" s="298"/>
      <c r="AK249" s="299"/>
      <c r="AL249" s="601">
        <f t="shared" si="79"/>
        <v>0</v>
      </c>
      <c r="AM249" s="604">
        <f t="shared" si="80"/>
        <v>0</v>
      </c>
      <c r="AN249" s="306"/>
      <c r="AO249" s="307"/>
      <c r="AP249" s="298"/>
      <c r="AQ249" s="307"/>
      <c r="AR249" s="298"/>
      <c r="AS249" s="307"/>
      <c r="AT249" s="298"/>
      <c r="AU249" s="307"/>
      <c r="AV249" s="601">
        <f t="shared" si="81"/>
        <v>0</v>
      </c>
      <c r="AW249" s="609">
        <f t="shared" si="82"/>
        <v>0</v>
      </c>
      <c r="AX249" s="603">
        <f t="shared" si="83"/>
        <v>0</v>
      </c>
      <c r="AY249" s="610">
        <f t="shared" si="84"/>
        <v>0</v>
      </c>
      <c r="AZ249" s="611">
        <f t="shared" si="85"/>
        <v>15912.8</v>
      </c>
      <c r="BA249" s="603">
        <f t="shared" si="86"/>
        <v>16113.583333333334</v>
      </c>
    </row>
    <row r="250" spans="1:53">
      <c r="A250" s="475" t="s">
        <v>30</v>
      </c>
      <c r="B250" s="478" t="s">
        <v>836</v>
      </c>
      <c r="C250" s="506" t="s">
        <v>844</v>
      </c>
      <c r="D250" s="504">
        <v>162779</v>
      </c>
      <c r="E250" s="507">
        <v>8</v>
      </c>
      <c r="F250" s="296" t="s">
        <v>52</v>
      </c>
      <c r="G250" s="297" t="s">
        <v>52</v>
      </c>
      <c r="H250" s="298">
        <v>5343</v>
      </c>
      <c r="I250" s="299">
        <v>6247</v>
      </c>
      <c r="J250" s="298">
        <v>72145</v>
      </c>
      <c r="K250" s="299">
        <v>77777</v>
      </c>
      <c r="L250" s="298">
        <v>15859</v>
      </c>
      <c r="M250" s="299">
        <v>18888</v>
      </c>
      <c r="N250" s="298">
        <v>84499</v>
      </c>
      <c r="O250" s="299">
        <v>88315</v>
      </c>
      <c r="P250" s="601">
        <f t="shared" si="69"/>
        <v>177846</v>
      </c>
      <c r="Q250" s="602">
        <f t="shared" si="70"/>
        <v>5928.2</v>
      </c>
      <c r="R250" s="603">
        <f t="shared" si="71"/>
        <v>191227</v>
      </c>
      <c r="S250" s="604">
        <f t="shared" si="72"/>
        <v>6374.2333333333336</v>
      </c>
      <c r="T250" s="298"/>
      <c r="U250" s="299"/>
      <c r="V250" s="601">
        <f t="shared" si="73"/>
        <v>0</v>
      </c>
      <c r="W250" s="605">
        <f t="shared" si="74"/>
        <v>0</v>
      </c>
      <c r="X250" s="305"/>
      <c r="Y250" s="299"/>
      <c r="Z250" s="298"/>
      <c r="AA250" s="299"/>
      <c r="AB250" s="298"/>
      <c r="AC250" s="299"/>
      <c r="AD250" s="298"/>
      <c r="AE250" s="299"/>
      <c r="AF250" s="601">
        <f t="shared" si="75"/>
        <v>0</v>
      </c>
      <c r="AG250" s="602">
        <f t="shared" si="76"/>
        <v>0</v>
      </c>
      <c r="AH250" s="603">
        <f t="shared" si="77"/>
        <v>0</v>
      </c>
      <c r="AI250" s="603">
        <f t="shared" si="78"/>
        <v>0</v>
      </c>
      <c r="AJ250" s="298"/>
      <c r="AK250" s="299"/>
      <c r="AL250" s="601">
        <f t="shared" si="79"/>
        <v>0</v>
      </c>
      <c r="AM250" s="604">
        <f t="shared" si="80"/>
        <v>0</v>
      </c>
      <c r="AN250" s="306"/>
      <c r="AO250" s="307"/>
      <c r="AP250" s="298"/>
      <c r="AQ250" s="307"/>
      <c r="AR250" s="298"/>
      <c r="AS250" s="307"/>
      <c r="AT250" s="298"/>
      <c r="AU250" s="307"/>
      <c r="AV250" s="601">
        <f t="shared" si="81"/>
        <v>0</v>
      </c>
      <c r="AW250" s="609">
        <f t="shared" si="82"/>
        <v>0</v>
      </c>
      <c r="AX250" s="603">
        <f t="shared" si="83"/>
        <v>0</v>
      </c>
      <c r="AY250" s="610">
        <f t="shared" si="84"/>
        <v>0</v>
      </c>
      <c r="AZ250" s="611">
        <f t="shared" si="85"/>
        <v>5928.2</v>
      </c>
      <c r="BA250" s="603">
        <f t="shared" si="86"/>
        <v>6374.2333333333336</v>
      </c>
    </row>
    <row r="251" spans="1:53">
      <c r="A251" s="475" t="s">
        <v>30</v>
      </c>
      <c r="B251" s="367" t="s">
        <v>827</v>
      </c>
      <c r="C251" s="479"/>
      <c r="D251" s="504">
        <v>163426</v>
      </c>
      <c r="E251" s="480">
        <v>8</v>
      </c>
      <c r="F251" s="296" t="s">
        <v>52</v>
      </c>
      <c r="G251" s="297" t="s">
        <v>52</v>
      </c>
      <c r="H251" s="298">
        <v>3537.6</v>
      </c>
      <c r="I251" s="299">
        <v>4081</v>
      </c>
      <c r="J251" s="298">
        <v>239363.6</v>
      </c>
      <c r="K251" s="299">
        <v>224555</v>
      </c>
      <c r="L251" s="298">
        <v>44224.800000000003</v>
      </c>
      <c r="M251" s="299">
        <v>63899</v>
      </c>
      <c r="N251" s="298">
        <v>274351.3</v>
      </c>
      <c r="O251" s="299">
        <v>246464</v>
      </c>
      <c r="P251" s="601">
        <f t="shared" si="69"/>
        <v>561477.30000000005</v>
      </c>
      <c r="Q251" s="602">
        <f t="shared" si="70"/>
        <v>18715.91</v>
      </c>
      <c r="R251" s="603">
        <f t="shared" si="71"/>
        <v>538999</v>
      </c>
      <c r="S251" s="604">
        <f t="shared" si="72"/>
        <v>17966.633333333335</v>
      </c>
      <c r="T251" s="298"/>
      <c r="U251" s="299"/>
      <c r="V251" s="601">
        <f t="shared" si="73"/>
        <v>0</v>
      </c>
      <c r="W251" s="605">
        <f t="shared" si="74"/>
        <v>0</v>
      </c>
      <c r="X251" s="305"/>
      <c r="Y251" s="299"/>
      <c r="Z251" s="298"/>
      <c r="AA251" s="299"/>
      <c r="AB251" s="298"/>
      <c r="AC251" s="299"/>
      <c r="AD251" s="298"/>
      <c r="AE251" s="299"/>
      <c r="AF251" s="601">
        <f t="shared" si="75"/>
        <v>0</v>
      </c>
      <c r="AG251" s="602">
        <f t="shared" si="76"/>
        <v>0</v>
      </c>
      <c r="AH251" s="603">
        <f t="shared" si="77"/>
        <v>0</v>
      </c>
      <c r="AI251" s="603">
        <f t="shared" si="78"/>
        <v>0</v>
      </c>
      <c r="AJ251" s="298"/>
      <c r="AK251" s="299"/>
      <c r="AL251" s="601">
        <f t="shared" si="79"/>
        <v>0</v>
      </c>
      <c r="AM251" s="604">
        <f t="shared" si="80"/>
        <v>0</v>
      </c>
      <c r="AN251" s="306"/>
      <c r="AO251" s="307"/>
      <c r="AP251" s="298"/>
      <c r="AQ251" s="307"/>
      <c r="AR251" s="298"/>
      <c r="AS251" s="307"/>
      <c r="AT251" s="298"/>
      <c r="AU251" s="307"/>
      <c r="AV251" s="601">
        <f t="shared" si="81"/>
        <v>0</v>
      </c>
      <c r="AW251" s="609">
        <f t="shared" si="82"/>
        <v>0</v>
      </c>
      <c r="AX251" s="603">
        <f t="shared" si="83"/>
        <v>0</v>
      </c>
      <c r="AY251" s="610">
        <f t="shared" si="84"/>
        <v>0</v>
      </c>
      <c r="AZ251" s="611">
        <f t="shared" si="85"/>
        <v>18715.91</v>
      </c>
      <c r="BA251" s="603">
        <f t="shared" si="86"/>
        <v>17966.633333333335</v>
      </c>
    </row>
    <row r="252" spans="1:53">
      <c r="A252" s="475" t="s">
        <v>30</v>
      </c>
      <c r="B252" s="367" t="s">
        <v>828</v>
      </c>
      <c r="C252" s="479"/>
      <c r="D252" s="504">
        <v>163657</v>
      </c>
      <c r="E252" s="480">
        <v>8</v>
      </c>
      <c r="F252" s="296" t="s">
        <v>52</v>
      </c>
      <c r="G252" s="297" t="s">
        <v>52</v>
      </c>
      <c r="H252" s="298">
        <v>0</v>
      </c>
      <c r="I252" s="299">
        <v>0</v>
      </c>
      <c r="J252" s="298">
        <v>161622</v>
      </c>
      <c r="K252" s="299">
        <v>164335</v>
      </c>
      <c r="L252" s="298">
        <v>55242</v>
      </c>
      <c r="M252" s="299">
        <v>59441</v>
      </c>
      <c r="N252" s="298">
        <v>171408</v>
      </c>
      <c r="O252" s="299">
        <v>167408</v>
      </c>
      <c r="P252" s="601">
        <f t="shared" si="69"/>
        <v>388272</v>
      </c>
      <c r="Q252" s="602">
        <f t="shared" si="70"/>
        <v>12942.4</v>
      </c>
      <c r="R252" s="603">
        <f t="shared" si="71"/>
        <v>391184</v>
      </c>
      <c r="S252" s="604">
        <f t="shared" si="72"/>
        <v>13039.466666666667</v>
      </c>
      <c r="T252" s="298"/>
      <c r="U252" s="299"/>
      <c r="V252" s="601">
        <f t="shared" si="73"/>
        <v>0</v>
      </c>
      <c r="W252" s="605">
        <f t="shared" si="74"/>
        <v>0</v>
      </c>
      <c r="X252" s="305"/>
      <c r="Y252" s="299"/>
      <c r="Z252" s="298"/>
      <c r="AA252" s="299"/>
      <c r="AB252" s="298"/>
      <c r="AC252" s="299"/>
      <c r="AD252" s="298"/>
      <c r="AE252" s="299"/>
      <c r="AF252" s="601">
        <f t="shared" si="75"/>
        <v>0</v>
      </c>
      <c r="AG252" s="602">
        <f t="shared" si="76"/>
        <v>0</v>
      </c>
      <c r="AH252" s="603">
        <f t="shared" si="77"/>
        <v>0</v>
      </c>
      <c r="AI252" s="603">
        <f t="shared" si="78"/>
        <v>0</v>
      </c>
      <c r="AJ252" s="298"/>
      <c r="AK252" s="299"/>
      <c r="AL252" s="601">
        <f t="shared" si="79"/>
        <v>0</v>
      </c>
      <c r="AM252" s="604">
        <f t="shared" si="80"/>
        <v>0</v>
      </c>
      <c r="AN252" s="306"/>
      <c r="AO252" s="307"/>
      <c r="AP252" s="298"/>
      <c r="AQ252" s="307"/>
      <c r="AR252" s="298"/>
      <c r="AS252" s="307"/>
      <c r="AT252" s="298"/>
      <c r="AU252" s="307"/>
      <c r="AV252" s="601">
        <f t="shared" si="81"/>
        <v>0</v>
      </c>
      <c r="AW252" s="609">
        <f t="shared" si="82"/>
        <v>0</v>
      </c>
      <c r="AX252" s="603">
        <f t="shared" si="83"/>
        <v>0</v>
      </c>
      <c r="AY252" s="610">
        <f t="shared" si="84"/>
        <v>0</v>
      </c>
      <c r="AZ252" s="611">
        <f t="shared" si="85"/>
        <v>12942.4</v>
      </c>
      <c r="BA252" s="603">
        <f t="shared" si="86"/>
        <v>13039.466666666667</v>
      </c>
    </row>
    <row r="253" spans="1:53">
      <c r="A253" s="475" t="s">
        <v>30</v>
      </c>
      <c r="B253" s="367" t="s">
        <v>829</v>
      </c>
      <c r="C253" s="479"/>
      <c r="D253" s="508">
        <v>161688</v>
      </c>
      <c r="E253" s="509">
        <v>9</v>
      </c>
      <c r="F253" s="296" t="s">
        <v>52</v>
      </c>
      <c r="G253" s="297" t="s">
        <v>52</v>
      </c>
      <c r="H253" s="298">
        <v>0</v>
      </c>
      <c r="I253" s="299">
        <v>0</v>
      </c>
      <c r="J253" s="298">
        <v>36084</v>
      </c>
      <c r="K253" s="299">
        <v>36965</v>
      </c>
      <c r="L253" s="298">
        <v>5224</v>
      </c>
      <c r="M253" s="299">
        <v>5220</v>
      </c>
      <c r="N253" s="298">
        <v>40453</v>
      </c>
      <c r="O253" s="299">
        <v>37813</v>
      </c>
      <c r="P253" s="601">
        <f t="shared" si="69"/>
        <v>81761</v>
      </c>
      <c r="Q253" s="602">
        <f t="shared" si="70"/>
        <v>2725.3666666666668</v>
      </c>
      <c r="R253" s="603">
        <f t="shared" si="71"/>
        <v>79998</v>
      </c>
      <c r="S253" s="604">
        <f t="shared" si="72"/>
        <v>2666.6</v>
      </c>
      <c r="T253" s="298"/>
      <c r="U253" s="299"/>
      <c r="V253" s="601">
        <f t="shared" si="73"/>
        <v>0</v>
      </c>
      <c r="W253" s="605">
        <f t="shared" si="74"/>
        <v>0</v>
      </c>
      <c r="X253" s="305"/>
      <c r="Y253" s="299"/>
      <c r="Z253" s="298"/>
      <c r="AA253" s="299"/>
      <c r="AB253" s="298"/>
      <c r="AC253" s="299"/>
      <c r="AD253" s="298"/>
      <c r="AE253" s="299"/>
      <c r="AF253" s="601">
        <f t="shared" si="75"/>
        <v>0</v>
      </c>
      <c r="AG253" s="602">
        <f t="shared" si="76"/>
        <v>0</v>
      </c>
      <c r="AH253" s="603">
        <f t="shared" si="77"/>
        <v>0</v>
      </c>
      <c r="AI253" s="603">
        <f t="shared" si="78"/>
        <v>0</v>
      </c>
      <c r="AJ253" s="298"/>
      <c r="AK253" s="299"/>
      <c r="AL253" s="601">
        <f t="shared" si="79"/>
        <v>0</v>
      </c>
      <c r="AM253" s="604">
        <f t="shared" si="80"/>
        <v>0</v>
      </c>
      <c r="AN253" s="306"/>
      <c r="AO253" s="307"/>
      <c r="AP253" s="298"/>
      <c r="AQ253" s="307"/>
      <c r="AR253" s="298"/>
      <c r="AS253" s="307"/>
      <c r="AT253" s="298"/>
      <c r="AU253" s="307"/>
      <c r="AV253" s="601">
        <f t="shared" si="81"/>
        <v>0</v>
      </c>
      <c r="AW253" s="609">
        <f t="shared" si="82"/>
        <v>0</v>
      </c>
      <c r="AX253" s="603">
        <f t="shared" si="83"/>
        <v>0</v>
      </c>
      <c r="AY253" s="610">
        <f t="shared" si="84"/>
        <v>0</v>
      </c>
      <c r="AZ253" s="611">
        <f t="shared" si="85"/>
        <v>2725.3666666666668</v>
      </c>
      <c r="BA253" s="603">
        <f t="shared" si="86"/>
        <v>2666.6</v>
      </c>
    </row>
    <row r="254" spans="1:53">
      <c r="A254" s="475" t="s">
        <v>30</v>
      </c>
      <c r="B254" s="367" t="s">
        <v>830</v>
      </c>
      <c r="C254" s="479" t="s">
        <v>843</v>
      </c>
      <c r="D254" s="504">
        <v>161864</v>
      </c>
      <c r="E254" s="480">
        <v>9</v>
      </c>
      <c r="F254" s="296" t="s">
        <v>52</v>
      </c>
      <c r="G254" s="297" t="s">
        <v>52</v>
      </c>
      <c r="H254" s="298">
        <v>1950</v>
      </c>
      <c r="I254" s="299">
        <v>2197</v>
      </c>
      <c r="J254" s="298">
        <v>64814</v>
      </c>
      <c r="K254" s="299">
        <v>67223</v>
      </c>
      <c r="L254" s="298">
        <v>14450</v>
      </c>
      <c r="M254" s="299">
        <v>13362</v>
      </c>
      <c r="N254" s="298">
        <v>66352</v>
      </c>
      <c r="O254" s="299">
        <v>68377</v>
      </c>
      <c r="P254" s="601">
        <f t="shared" si="69"/>
        <v>147566</v>
      </c>
      <c r="Q254" s="602">
        <f t="shared" si="70"/>
        <v>4918.8666666666668</v>
      </c>
      <c r="R254" s="603">
        <f t="shared" si="71"/>
        <v>151159</v>
      </c>
      <c r="S254" s="604">
        <f t="shared" si="72"/>
        <v>5038.6333333333332</v>
      </c>
      <c r="T254" s="298"/>
      <c r="U254" s="299"/>
      <c r="V254" s="601">
        <f t="shared" si="73"/>
        <v>0</v>
      </c>
      <c r="W254" s="605">
        <f t="shared" si="74"/>
        <v>0</v>
      </c>
      <c r="X254" s="305"/>
      <c r="Y254" s="299"/>
      <c r="Z254" s="298"/>
      <c r="AA254" s="299"/>
      <c r="AB254" s="298"/>
      <c r="AC254" s="299"/>
      <c r="AD254" s="298"/>
      <c r="AE254" s="299"/>
      <c r="AF254" s="601">
        <f t="shared" si="75"/>
        <v>0</v>
      </c>
      <c r="AG254" s="602">
        <f t="shared" si="76"/>
        <v>0</v>
      </c>
      <c r="AH254" s="603">
        <f t="shared" si="77"/>
        <v>0</v>
      </c>
      <c r="AI254" s="603">
        <f t="shared" si="78"/>
        <v>0</v>
      </c>
      <c r="AJ254" s="298"/>
      <c r="AK254" s="299"/>
      <c r="AL254" s="601">
        <f t="shared" si="79"/>
        <v>0</v>
      </c>
      <c r="AM254" s="604">
        <f t="shared" si="80"/>
        <v>0</v>
      </c>
      <c r="AN254" s="306"/>
      <c r="AO254" s="307"/>
      <c r="AP254" s="298"/>
      <c r="AQ254" s="307"/>
      <c r="AR254" s="298"/>
      <c r="AS254" s="307"/>
      <c r="AT254" s="298"/>
      <c r="AU254" s="307"/>
      <c r="AV254" s="601">
        <f t="shared" si="81"/>
        <v>0</v>
      </c>
      <c r="AW254" s="609">
        <f t="shared" si="82"/>
        <v>0</v>
      </c>
      <c r="AX254" s="603">
        <f t="shared" si="83"/>
        <v>0</v>
      </c>
      <c r="AY254" s="610">
        <f t="shared" si="84"/>
        <v>0</v>
      </c>
      <c r="AZ254" s="611">
        <f t="shared" si="85"/>
        <v>4918.8666666666668</v>
      </c>
      <c r="BA254" s="603">
        <f t="shared" si="86"/>
        <v>5038.6333333333332</v>
      </c>
    </row>
    <row r="255" spans="1:53">
      <c r="A255" s="475" t="s">
        <v>30</v>
      </c>
      <c r="B255" s="503" t="s">
        <v>831</v>
      </c>
      <c r="C255" s="510"/>
      <c r="D255" s="511">
        <v>405872</v>
      </c>
      <c r="E255" s="512">
        <v>9</v>
      </c>
      <c r="F255" s="296" t="s">
        <v>52</v>
      </c>
      <c r="G255" s="297" t="s">
        <v>52</v>
      </c>
      <c r="H255" s="298">
        <v>1682</v>
      </c>
      <c r="I255" s="299">
        <v>1916.5</v>
      </c>
      <c r="J255" s="298">
        <v>33271</v>
      </c>
      <c r="K255" s="299">
        <v>35060</v>
      </c>
      <c r="L255" s="298">
        <v>6230</v>
      </c>
      <c r="M255" s="299">
        <v>6582</v>
      </c>
      <c r="N255" s="298">
        <v>38681</v>
      </c>
      <c r="O255" s="299">
        <v>38335</v>
      </c>
      <c r="P255" s="601">
        <f t="shared" si="69"/>
        <v>79864</v>
      </c>
      <c r="Q255" s="602">
        <f t="shared" si="70"/>
        <v>2662.1333333333332</v>
      </c>
      <c r="R255" s="603">
        <f t="shared" si="71"/>
        <v>81893.5</v>
      </c>
      <c r="S255" s="604">
        <f t="shared" si="72"/>
        <v>2729.7833333333333</v>
      </c>
      <c r="T255" s="298"/>
      <c r="U255" s="299"/>
      <c r="V255" s="601">
        <f t="shared" si="73"/>
        <v>0</v>
      </c>
      <c r="W255" s="605">
        <f t="shared" si="74"/>
        <v>0</v>
      </c>
      <c r="X255" s="305"/>
      <c r="Y255" s="299"/>
      <c r="Z255" s="298"/>
      <c r="AA255" s="299"/>
      <c r="AB255" s="298"/>
      <c r="AC255" s="299"/>
      <c r="AD255" s="298"/>
      <c r="AE255" s="299"/>
      <c r="AF255" s="601">
        <f t="shared" si="75"/>
        <v>0</v>
      </c>
      <c r="AG255" s="602">
        <f t="shared" si="76"/>
        <v>0</v>
      </c>
      <c r="AH255" s="603">
        <f t="shared" si="77"/>
        <v>0</v>
      </c>
      <c r="AI255" s="603">
        <f t="shared" si="78"/>
        <v>0</v>
      </c>
      <c r="AJ255" s="298"/>
      <c r="AK255" s="299"/>
      <c r="AL255" s="601">
        <f t="shared" si="79"/>
        <v>0</v>
      </c>
      <c r="AM255" s="604">
        <f t="shared" si="80"/>
        <v>0</v>
      </c>
      <c r="AN255" s="306"/>
      <c r="AO255" s="307"/>
      <c r="AP255" s="298"/>
      <c r="AQ255" s="307"/>
      <c r="AR255" s="298"/>
      <c r="AS255" s="307"/>
      <c r="AT255" s="298"/>
      <c r="AU255" s="307"/>
      <c r="AV255" s="601">
        <f t="shared" si="81"/>
        <v>0</v>
      </c>
      <c r="AW255" s="609">
        <f t="shared" si="82"/>
        <v>0</v>
      </c>
      <c r="AX255" s="603">
        <f t="shared" si="83"/>
        <v>0</v>
      </c>
      <c r="AY255" s="610">
        <f t="shared" si="84"/>
        <v>0</v>
      </c>
      <c r="AZ255" s="611">
        <f t="shared" si="85"/>
        <v>2662.1333333333332</v>
      </c>
      <c r="BA255" s="603">
        <f t="shared" si="86"/>
        <v>2729.7833333333333</v>
      </c>
    </row>
    <row r="256" spans="1:53">
      <c r="A256" s="475" t="s">
        <v>30</v>
      </c>
      <c r="B256" s="367" t="s">
        <v>833</v>
      </c>
      <c r="C256" s="479"/>
      <c r="D256" s="504">
        <v>162557</v>
      </c>
      <c r="E256" s="480">
        <v>9</v>
      </c>
      <c r="F256" s="296" t="s">
        <v>52</v>
      </c>
      <c r="G256" s="297" t="s">
        <v>52</v>
      </c>
      <c r="H256" s="298">
        <v>2489</v>
      </c>
      <c r="I256" s="299">
        <v>2549</v>
      </c>
      <c r="J256" s="298">
        <v>52932</v>
      </c>
      <c r="K256" s="299">
        <v>53146</v>
      </c>
      <c r="L256" s="298">
        <v>11495</v>
      </c>
      <c r="M256" s="299">
        <v>12954</v>
      </c>
      <c r="N256" s="298">
        <v>55349</v>
      </c>
      <c r="O256" s="299">
        <v>55561</v>
      </c>
      <c r="P256" s="601">
        <f t="shared" si="69"/>
        <v>122265</v>
      </c>
      <c r="Q256" s="602">
        <f t="shared" si="70"/>
        <v>4075.5</v>
      </c>
      <c r="R256" s="603">
        <f t="shared" si="71"/>
        <v>124210</v>
      </c>
      <c r="S256" s="604">
        <f t="shared" si="72"/>
        <v>4140.333333333333</v>
      </c>
      <c r="T256" s="298"/>
      <c r="U256" s="299"/>
      <c r="V256" s="601">
        <f t="shared" si="73"/>
        <v>0</v>
      </c>
      <c r="W256" s="605">
        <f t="shared" si="74"/>
        <v>0</v>
      </c>
      <c r="X256" s="305"/>
      <c r="Y256" s="299"/>
      <c r="Z256" s="298"/>
      <c r="AA256" s="299"/>
      <c r="AB256" s="298"/>
      <c r="AC256" s="299"/>
      <c r="AD256" s="298"/>
      <c r="AE256" s="299"/>
      <c r="AF256" s="601">
        <f t="shared" si="75"/>
        <v>0</v>
      </c>
      <c r="AG256" s="602">
        <f t="shared" si="76"/>
        <v>0</v>
      </c>
      <c r="AH256" s="603">
        <f t="shared" si="77"/>
        <v>0</v>
      </c>
      <c r="AI256" s="603">
        <f t="shared" si="78"/>
        <v>0</v>
      </c>
      <c r="AJ256" s="298"/>
      <c r="AK256" s="299"/>
      <c r="AL256" s="601">
        <f t="shared" si="79"/>
        <v>0</v>
      </c>
      <c r="AM256" s="604">
        <f t="shared" si="80"/>
        <v>0</v>
      </c>
      <c r="AN256" s="306"/>
      <c r="AO256" s="307"/>
      <c r="AP256" s="298"/>
      <c r="AQ256" s="307"/>
      <c r="AR256" s="298"/>
      <c r="AS256" s="307"/>
      <c r="AT256" s="298"/>
      <c r="AU256" s="307"/>
      <c r="AV256" s="601">
        <f t="shared" si="81"/>
        <v>0</v>
      </c>
      <c r="AW256" s="609">
        <f t="shared" si="82"/>
        <v>0</v>
      </c>
      <c r="AX256" s="603">
        <f t="shared" si="83"/>
        <v>0</v>
      </c>
      <c r="AY256" s="610">
        <f t="shared" si="84"/>
        <v>0</v>
      </c>
      <c r="AZ256" s="611">
        <f t="shared" si="85"/>
        <v>4075.5</v>
      </c>
      <c r="BA256" s="603">
        <f t="shared" si="86"/>
        <v>4140.333333333333</v>
      </c>
    </row>
    <row r="257" spans="1:53">
      <c r="A257" s="475" t="s">
        <v>30</v>
      </c>
      <c r="B257" s="367" t="s">
        <v>834</v>
      </c>
      <c r="C257" s="479"/>
      <c r="D257" s="508">
        <v>162690</v>
      </c>
      <c r="E257" s="509">
        <v>9</v>
      </c>
      <c r="F257" s="296" t="s">
        <v>52</v>
      </c>
      <c r="G257" s="297" t="s">
        <v>52</v>
      </c>
      <c r="H257" s="298">
        <v>0</v>
      </c>
      <c r="I257" s="299">
        <v>0</v>
      </c>
      <c r="J257" s="298">
        <v>38189</v>
      </c>
      <c r="K257" s="299">
        <v>39049</v>
      </c>
      <c r="L257" s="298">
        <v>11600</v>
      </c>
      <c r="M257" s="299">
        <v>12662</v>
      </c>
      <c r="N257" s="298">
        <v>43106</v>
      </c>
      <c r="O257" s="299">
        <v>43297</v>
      </c>
      <c r="P257" s="601">
        <f t="shared" si="69"/>
        <v>92895</v>
      </c>
      <c r="Q257" s="602">
        <f t="shared" si="70"/>
        <v>3096.5</v>
      </c>
      <c r="R257" s="603">
        <f t="shared" si="71"/>
        <v>95008</v>
      </c>
      <c r="S257" s="604">
        <f t="shared" si="72"/>
        <v>3166.9333333333334</v>
      </c>
      <c r="T257" s="298"/>
      <c r="U257" s="299"/>
      <c r="V257" s="601">
        <f t="shared" si="73"/>
        <v>0</v>
      </c>
      <c r="W257" s="605">
        <f t="shared" si="74"/>
        <v>0</v>
      </c>
      <c r="X257" s="305"/>
      <c r="Y257" s="299"/>
      <c r="Z257" s="298"/>
      <c r="AA257" s="299"/>
      <c r="AB257" s="298"/>
      <c r="AC257" s="299"/>
      <c r="AD257" s="298"/>
      <c r="AE257" s="299"/>
      <c r="AF257" s="601">
        <f t="shared" si="75"/>
        <v>0</v>
      </c>
      <c r="AG257" s="602">
        <f t="shared" si="76"/>
        <v>0</v>
      </c>
      <c r="AH257" s="603">
        <f t="shared" si="77"/>
        <v>0</v>
      </c>
      <c r="AI257" s="603">
        <f t="shared" si="78"/>
        <v>0</v>
      </c>
      <c r="AJ257" s="298"/>
      <c r="AK257" s="299"/>
      <c r="AL257" s="601">
        <f t="shared" si="79"/>
        <v>0</v>
      </c>
      <c r="AM257" s="604">
        <f t="shared" si="80"/>
        <v>0</v>
      </c>
      <c r="AN257" s="306"/>
      <c r="AO257" s="307"/>
      <c r="AP257" s="298"/>
      <c r="AQ257" s="307"/>
      <c r="AR257" s="298"/>
      <c r="AS257" s="307"/>
      <c r="AT257" s="298"/>
      <c r="AU257" s="307"/>
      <c r="AV257" s="601">
        <f t="shared" si="81"/>
        <v>0</v>
      </c>
      <c r="AW257" s="609">
        <f t="shared" si="82"/>
        <v>0</v>
      </c>
      <c r="AX257" s="603">
        <f t="shared" si="83"/>
        <v>0</v>
      </c>
      <c r="AY257" s="610">
        <f t="shared" si="84"/>
        <v>0</v>
      </c>
      <c r="AZ257" s="611">
        <f t="shared" si="85"/>
        <v>3096.5</v>
      </c>
      <c r="BA257" s="603">
        <f t="shared" si="86"/>
        <v>3166.9333333333334</v>
      </c>
    </row>
    <row r="258" spans="1:53">
      <c r="A258" s="475" t="s">
        <v>30</v>
      </c>
      <c r="B258" s="367" t="s">
        <v>835</v>
      </c>
      <c r="C258" s="479"/>
      <c r="D258" s="504">
        <v>162706</v>
      </c>
      <c r="E258" s="480">
        <v>9</v>
      </c>
      <c r="F258" s="296" t="s">
        <v>52</v>
      </c>
      <c r="G258" s="297" t="s">
        <v>52</v>
      </c>
      <c r="H258" s="298">
        <v>1971</v>
      </c>
      <c r="I258" s="299">
        <v>2192</v>
      </c>
      <c r="J258" s="298">
        <v>56456</v>
      </c>
      <c r="K258" s="299">
        <v>57089.5</v>
      </c>
      <c r="L258" s="298">
        <v>10813.5</v>
      </c>
      <c r="M258" s="299">
        <v>11772</v>
      </c>
      <c r="N258" s="298">
        <v>64260</v>
      </c>
      <c r="O258" s="299">
        <v>63740.5</v>
      </c>
      <c r="P258" s="601">
        <f t="shared" si="69"/>
        <v>133500.5</v>
      </c>
      <c r="Q258" s="602">
        <f t="shared" si="70"/>
        <v>4450.0166666666664</v>
      </c>
      <c r="R258" s="603">
        <f t="shared" si="71"/>
        <v>134794</v>
      </c>
      <c r="S258" s="604">
        <f t="shared" si="72"/>
        <v>4493.1333333333332</v>
      </c>
      <c r="T258" s="298"/>
      <c r="U258" s="299"/>
      <c r="V258" s="601">
        <f t="shared" si="73"/>
        <v>0</v>
      </c>
      <c r="W258" s="605">
        <f t="shared" si="74"/>
        <v>0</v>
      </c>
      <c r="X258" s="305"/>
      <c r="Y258" s="299"/>
      <c r="Z258" s="298"/>
      <c r="AA258" s="299"/>
      <c r="AB258" s="298"/>
      <c r="AC258" s="299"/>
      <c r="AD258" s="298"/>
      <c r="AE258" s="299"/>
      <c r="AF258" s="601">
        <f t="shared" si="75"/>
        <v>0</v>
      </c>
      <c r="AG258" s="602">
        <f t="shared" si="76"/>
        <v>0</v>
      </c>
      <c r="AH258" s="603">
        <f t="shared" si="77"/>
        <v>0</v>
      </c>
      <c r="AI258" s="603">
        <f t="shared" si="78"/>
        <v>0</v>
      </c>
      <c r="AJ258" s="298"/>
      <c r="AK258" s="299"/>
      <c r="AL258" s="601">
        <f t="shared" si="79"/>
        <v>0</v>
      </c>
      <c r="AM258" s="604">
        <f t="shared" si="80"/>
        <v>0</v>
      </c>
      <c r="AN258" s="306"/>
      <c r="AO258" s="307"/>
      <c r="AP258" s="298"/>
      <c r="AQ258" s="307"/>
      <c r="AR258" s="298"/>
      <c r="AS258" s="307"/>
      <c r="AT258" s="298"/>
      <c r="AU258" s="307"/>
      <c r="AV258" s="601">
        <f t="shared" si="81"/>
        <v>0</v>
      </c>
      <c r="AW258" s="609">
        <f t="shared" si="82"/>
        <v>0</v>
      </c>
      <c r="AX258" s="603">
        <f t="shared" si="83"/>
        <v>0</v>
      </c>
      <c r="AY258" s="610">
        <f t="shared" si="84"/>
        <v>0</v>
      </c>
      <c r="AZ258" s="611">
        <f t="shared" si="85"/>
        <v>4450.0166666666664</v>
      </c>
      <c r="BA258" s="603">
        <f t="shared" si="86"/>
        <v>4493.1333333333332</v>
      </c>
    </row>
    <row r="259" spans="1:53">
      <c r="A259" s="475" t="s">
        <v>30</v>
      </c>
      <c r="B259" s="503" t="s">
        <v>837</v>
      </c>
      <c r="C259" s="510"/>
      <c r="D259" s="511">
        <v>164313</v>
      </c>
      <c r="E259" s="512">
        <v>9</v>
      </c>
      <c r="F259" s="296" t="s">
        <v>52</v>
      </c>
      <c r="G259" s="297" t="s">
        <v>52</v>
      </c>
      <c r="H259" s="298">
        <v>0</v>
      </c>
      <c r="I259" s="299">
        <v>0</v>
      </c>
      <c r="J259" s="298">
        <v>32877</v>
      </c>
      <c r="K259" s="299">
        <v>32278</v>
      </c>
      <c r="L259" s="298">
        <v>8671</v>
      </c>
      <c r="M259" s="299">
        <v>8106</v>
      </c>
      <c r="N259" s="298">
        <v>35802</v>
      </c>
      <c r="O259" s="299">
        <v>36516</v>
      </c>
      <c r="P259" s="601">
        <f t="shared" si="69"/>
        <v>77350</v>
      </c>
      <c r="Q259" s="602">
        <f t="shared" si="70"/>
        <v>2578.3333333333335</v>
      </c>
      <c r="R259" s="603">
        <f t="shared" si="71"/>
        <v>76900</v>
      </c>
      <c r="S259" s="604">
        <f t="shared" si="72"/>
        <v>2563.3333333333335</v>
      </c>
      <c r="T259" s="298"/>
      <c r="U259" s="299"/>
      <c r="V259" s="601">
        <f t="shared" si="73"/>
        <v>0</v>
      </c>
      <c r="W259" s="605">
        <f t="shared" si="74"/>
        <v>0</v>
      </c>
      <c r="X259" s="305"/>
      <c r="Y259" s="299"/>
      <c r="Z259" s="298"/>
      <c r="AA259" s="299"/>
      <c r="AB259" s="298"/>
      <c r="AC259" s="299"/>
      <c r="AD259" s="298"/>
      <c r="AE259" s="299"/>
      <c r="AF259" s="601">
        <f t="shared" si="75"/>
        <v>0</v>
      </c>
      <c r="AG259" s="602">
        <f t="shared" si="76"/>
        <v>0</v>
      </c>
      <c r="AH259" s="603">
        <f t="shared" si="77"/>
        <v>0</v>
      </c>
      <c r="AI259" s="603">
        <f t="shared" si="78"/>
        <v>0</v>
      </c>
      <c r="AJ259" s="298"/>
      <c r="AK259" s="299"/>
      <c r="AL259" s="601">
        <f t="shared" si="79"/>
        <v>0</v>
      </c>
      <c r="AM259" s="604">
        <f t="shared" si="80"/>
        <v>0</v>
      </c>
      <c r="AN259" s="306"/>
      <c r="AO259" s="307"/>
      <c r="AP259" s="298"/>
      <c r="AQ259" s="307"/>
      <c r="AR259" s="298"/>
      <c r="AS259" s="307"/>
      <c r="AT259" s="298"/>
      <c r="AU259" s="307"/>
      <c r="AV259" s="601">
        <f t="shared" si="81"/>
        <v>0</v>
      </c>
      <c r="AW259" s="609">
        <f t="shared" si="82"/>
        <v>0</v>
      </c>
      <c r="AX259" s="603">
        <f t="shared" si="83"/>
        <v>0</v>
      </c>
      <c r="AY259" s="610">
        <f t="shared" si="84"/>
        <v>0</v>
      </c>
      <c r="AZ259" s="611">
        <f t="shared" si="85"/>
        <v>2578.3333333333335</v>
      </c>
      <c r="BA259" s="603">
        <f t="shared" si="86"/>
        <v>2563.3333333333335</v>
      </c>
    </row>
    <row r="260" spans="1:53">
      <c r="A260" s="475" t="s">
        <v>30</v>
      </c>
      <c r="B260" s="367" t="s">
        <v>838</v>
      </c>
      <c r="C260" s="479"/>
      <c r="D260" s="504">
        <v>162104</v>
      </c>
      <c r="E260" s="480">
        <v>10</v>
      </c>
      <c r="F260" s="296" t="s">
        <v>52</v>
      </c>
      <c r="G260" s="297" t="s">
        <v>52</v>
      </c>
      <c r="H260" s="298">
        <v>0</v>
      </c>
      <c r="I260" s="299">
        <v>0</v>
      </c>
      <c r="J260" s="298">
        <v>21627.5</v>
      </c>
      <c r="K260" s="299">
        <v>21166</v>
      </c>
      <c r="L260" s="298">
        <v>3498</v>
      </c>
      <c r="M260" s="299">
        <v>3584</v>
      </c>
      <c r="N260" s="298">
        <v>23792</v>
      </c>
      <c r="O260" s="299">
        <v>24301</v>
      </c>
      <c r="P260" s="601">
        <f t="shared" si="69"/>
        <v>48917.5</v>
      </c>
      <c r="Q260" s="602">
        <f t="shared" si="70"/>
        <v>1630.5833333333333</v>
      </c>
      <c r="R260" s="603">
        <f t="shared" si="71"/>
        <v>49051</v>
      </c>
      <c r="S260" s="604">
        <f t="shared" si="72"/>
        <v>1635.0333333333333</v>
      </c>
      <c r="T260" s="298"/>
      <c r="U260" s="299"/>
      <c r="V260" s="601">
        <f t="shared" si="73"/>
        <v>0</v>
      </c>
      <c r="W260" s="605">
        <f t="shared" si="74"/>
        <v>0</v>
      </c>
      <c r="X260" s="305"/>
      <c r="Y260" s="299"/>
      <c r="Z260" s="298"/>
      <c r="AA260" s="299"/>
      <c r="AB260" s="298"/>
      <c r="AC260" s="299"/>
      <c r="AD260" s="298"/>
      <c r="AE260" s="299"/>
      <c r="AF260" s="601">
        <f t="shared" si="75"/>
        <v>0</v>
      </c>
      <c r="AG260" s="602">
        <f t="shared" si="76"/>
        <v>0</v>
      </c>
      <c r="AH260" s="603">
        <f t="shared" si="77"/>
        <v>0</v>
      </c>
      <c r="AI260" s="603">
        <f t="shared" si="78"/>
        <v>0</v>
      </c>
      <c r="AJ260" s="298"/>
      <c r="AK260" s="299"/>
      <c r="AL260" s="601">
        <f t="shared" si="79"/>
        <v>0</v>
      </c>
      <c r="AM260" s="604">
        <f t="shared" si="80"/>
        <v>0</v>
      </c>
      <c r="AN260" s="306"/>
      <c r="AO260" s="307"/>
      <c r="AP260" s="298"/>
      <c r="AQ260" s="307"/>
      <c r="AR260" s="298"/>
      <c r="AS260" s="307"/>
      <c r="AT260" s="298"/>
      <c r="AU260" s="307"/>
      <c r="AV260" s="601">
        <f t="shared" si="81"/>
        <v>0</v>
      </c>
      <c r="AW260" s="609">
        <f t="shared" si="82"/>
        <v>0</v>
      </c>
      <c r="AX260" s="603">
        <f t="shared" si="83"/>
        <v>0</v>
      </c>
      <c r="AY260" s="610">
        <f t="shared" si="84"/>
        <v>0</v>
      </c>
      <c r="AZ260" s="611">
        <f t="shared" si="85"/>
        <v>1630.5833333333333</v>
      </c>
      <c r="BA260" s="603">
        <f t="shared" si="86"/>
        <v>1635.0333333333333</v>
      </c>
    </row>
    <row r="261" spans="1:53">
      <c r="A261" s="475" t="s">
        <v>30</v>
      </c>
      <c r="B261" s="367" t="s">
        <v>839</v>
      </c>
      <c r="C261" s="479"/>
      <c r="D261" s="504">
        <v>162168</v>
      </c>
      <c r="E261" s="480">
        <v>10</v>
      </c>
      <c r="F261" s="296" t="s">
        <v>52</v>
      </c>
      <c r="G261" s="297" t="s">
        <v>52</v>
      </c>
      <c r="H261" s="298">
        <v>0</v>
      </c>
      <c r="I261" s="299">
        <v>0</v>
      </c>
      <c r="J261" s="298">
        <v>24738</v>
      </c>
      <c r="K261" s="299">
        <v>24227</v>
      </c>
      <c r="L261" s="298">
        <v>3174</v>
      </c>
      <c r="M261" s="299">
        <v>2920</v>
      </c>
      <c r="N261" s="298">
        <v>26425</v>
      </c>
      <c r="O261" s="299">
        <v>25825</v>
      </c>
      <c r="P261" s="601">
        <f t="shared" si="69"/>
        <v>54337</v>
      </c>
      <c r="Q261" s="602">
        <f t="shared" si="70"/>
        <v>1811.2333333333333</v>
      </c>
      <c r="R261" s="603">
        <f t="shared" si="71"/>
        <v>52972</v>
      </c>
      <c r="S261" s="604">
        <f t="shared" si="72"/>
        <v>1765.7333333333333</v>
      </c>
      <c r="T261" s="298"/>
      <c r="U261" s="299"/>
      <c r="V261" s="601">
        <f t="shared" si="73"/>
        <v>0</v>
      </c>
      <c r="W261" s="605">
        <f t="shared" si="74"/>
        <v>0</v>
      </c>
      <c r="X261" s="305"/>
      <c r="Y261" s="299"/>
      <c r="Z261" s="298"/>
      <c r="AA261" s="299"/>
      <c r="AB261" s="298"/>
      <c r="AC261" s="299"/>
      <c r="AD261" s="298"/>
      <c r="AE261" s="299"/>
      <c r="AF261" s="601">
        <f t="shared" si="75"/>
        <v>0</v>
      </c>
      <c r="AG261" s="602">
        <f t="shared" si="76"/>
        <v>0</v>
      </c>
      <c r="AH261" s="603">
        <f t="shared" si="77"/>
        <v>0</v>
      </c>
      <c r="AI261" s="603">
        <f t="shared" si="78"/>
        <v>0</v>
      </c>
      <c r="AJ261" s="298"/>
      <c r="AK261" s="299"/>
      <c r="AL261" s="601">
        <f t="shared" si="79"/>
        <v>0</v>
      </c>
      <c r="AM261" s="604">
        <f t="shared" si="80"/>
        <v>0</v>
      </c>
      <c r="AN261" s="306"/>
      <c r="AO261" s="307"/>
      <c r="AP261" s="298"/>
      <c r="AQ261" s="307"/>
      <c r="AR261" s="298"/>
      <c r="AS261" s="307"/>
      <c r="AT261" s="298"/>
      <c r="AU261" s="307"/>
      <c r="AV261" s="601">
        <f t="shared" si="81"/>
        <v>0</v>
      </c>
      <c r="AW261" s="609">
        <f t="shared" si="82"/>
        <v>0</v>
      </c>
      <c r="AX261" s="603">
        <f t="shared" si="83"/>
        <v>0</v>
      </c>
      <c r="AY261" s="610">
        <f t="shared" si="84"/>
        <v>0</v>
      </c>
      <c r="AZ261" s="611">
        <f t="shared" si="85"/>
        <v>1811.2333333333333</v>
      </c>
      <c r="BA261" s="603">
        <f t="shared" si="86"/>
        <v>1765.7333333333333</v>
      </c>
    </row>
    <row r="262" spans="1:53">
      <c r="A262" s="475" t="s">
        <v>30</v>
      </c>
      <c r="B262" s="367" t="s">
        <v>840</v>
      </c>
      <c r="C262" s="479"/>
      <c r="D262" s="504">
        <v>162609</v>
      </c>
      <c r="E262" s="480">
        <v>10</v>
      </c>
      <c r="F262" s="296" t="s">
        <v>52</v>
      </c>
      <c r="G262" s="297" t="s">
        <v>52</v>
      </c>
      <c r="H262" s="298">
        <v>181</v>
      </c>
      <c r="I262" s="299">
        <v>131</v>
      </c>
      <c r="J262" s="298">
        <v>9560.75</v>
      </c>
      <c r="K262" s="299">
        <v>10179.25</v>
      </c>
      <c r="L262" s="298">
        <v>562</v>
      </c>
      <c r="M262" s="299">
        <v>594</v>
      </c>
      <c r="N262" s="298">
        <v>10119</v>
      </c>
      <c r="O262" s="299">
        <v>12941.5</v>
      </c>
      <c r="P262" s="601">
        <f t="shared" si="69"/>
        <v>20422.75</v>
      </c>
      <c r="Q262" s="602">
        <f t="shared" si="70"/>
        <v>680.75833333333333</v>
      </c>
      <c r="R262" s="603">
        <f t="shared" si="71"/>
        <v>23845.75</v>
      </c>
      <c r="S262" s="604">
        <f t="shared" si="72"/>
        <v>794.85833333333335</v>
      </c>
      <c r="T262" s="298"/>
      <c r="U262" s="299"/>
      <c r="V262" s="601">
        <f t="shared" si="73"/>
        <v>0</v>
      </c>
      <c r="W262" s="605">
        <f t="shared" si="74"/>
        <v>0</v>
      </c>
      <c r="X262" s="305"/>
      <c r="Y262" s="299"/>
      <c r="Z262" s="298"/>
      <c r="AA262" s="299"/>
      <c r="AB262" s="298"/>
      <c r="AC262" s="299"/>
      <c r="AD262" s="298"/>
      <c r="AE262" s="299"/>
      <c r="AF262" s="601">
        <f t="shared" si="75"/>
        <v>0</v>
      </c>
      <c r="AG262" s="602">
        <f t="shared" si="76"/>
        <v>0</v>
      </c>
      <c r="AH262" s="603">
        <f t="shared" si="77"/>
        <v>0</v>
      </c>
      <c r="AI262" s="603">
        <f t="shared" si="78"/>
        <v>0</v>
      </c>
      <c r="AJ262" s="298"/>
      <c r="AK262" s="299"/>
      <c r="AL262" s="601">
        <f t="shared" si="79"/>
        <v>0</v>
      </c>
      <c r="AM262" s="604">
        <f t="shared" si="80"/>
        <v>0</v>
      </c>
      <c r="AN262" s="306"/>
      <c r="AO262" s="307"/>
      <c r="AP262" s="298"/>
      <c r="AQ262" s="307"/>
      <c r="AR262" s="298"/>
      <c r="AS262" s="307"/>
      <c r="AT262" s="298"/>
      <c r="AU262" s="307"/>
      <c r="AV262" s="601">
        <f t="shared" si="81"/>
        <v>0</v>
      </c>
      <c r="AW262" s="609">
        <f t="shared" si="82"/>
        <v>0</v>
      </c>
      <c r="AX262" s="603">
        <f t="shared" si="83"/>
        <v>0</v>
      </c>
      <c r="AY262" s="610">
        <f t="shared" si="84"/>
        <v>0</v>
      </c>
      <c r="AZ262" s="611">
        <f t="shared" si="85"/>
        <v>680.75833333333333</v>
      </c>
      <c r="BA262" s="603">
        <f t="shared" si="86"/>
        <v>794.85833333333335</v>
      </c>
    </row>
    <row r="263" spans="1:53">
      <c r="A263" s="429" t="s">
        <v>162</v>
      </c>
      <c r="B263" s="371" t="s">
        <v>464</v>
      </c>
      <c r="C263" s="371"/>
      <c r="D263" s="369">
        <v>176080</v>
      </c>
      <c r="E263" s="369">
        <v>1</v>
      </c>
      <c r="F263" s="296" t="s">
        <v>52</v>
      </c>
      <c r="G263" s="297" t="s">
        <v>52</v>
      </c>
      <c r="H263" s="298"/>
      <c r="I263" s="299"/>
      <c r="J263" s="298">
        <v>177192</v>
      </c>
      <c r="K263" s="299">
        <v>189437</v>
      </c>
      <c r="L263" s="298">
        <v>38651</v>
      </c>
      <c r="M263" s="299">
        <v>38934</v>
      </c>
      <c r="N263" s="298">
        <v>202598</v>
      </c>
      <c r="O263" s="299">
        <v>213629</v>
      </c>
      <c r="P263" s="601">
        <f t="shared" ref="P263:P326" si="87">SUM(H263,J263,L263,N263)</f>
        <v>418441</v>
      </c>
      <c r="Q263" s="602">
        <f t="shared" ref="Q263:Q326" si="88">+P263/30</f>
        <v>13948.033333333333</v>
      </c>
      <c r="R263" s="603">
        <f t="shared" ref="R263:R326" si="89">SUM(I263,K263,M263,O263)</f>
        <v>442000</v>
      </c>
      <c r="S263" s="604">
        <f t="shared" ref="S263:S326" si="90">+R263/30</f>
        <v>14733.333333333334</v>
      </c>
      <c r="T263" s="298"/>
      <c r="U263" s="299"/>
      <c r="V263" s="601">
        <f t="shared" ref="V263:V326" si="91">IF(ISBLANK(T263),0,P263)</f>
        <v>0</v>
      </c>
      <c r="W263" s="605">
        <f t="shared" ref="W263:W326" si="92">IF(ISBLANK(U263),0,R263)</f>
        <v>0</v>
      </c>
      <c r="X263" s="305"/>
      <c r="Y263" s="299"/>
      <c r="Z263" s="298"/>
      <c r="AA263" s="299"/>
      <c r="AB263" s="298"/>
      <c r="AC263" s="299"/>
      <c r="AD263" s="298"/>
      <c r="AE263" s="299"/>
      <c r="AF263" s="601">
        <f t="shared" ref="AF263:AF326" si="93">SUM(X263,Z263,AB263,AD263)</f>
        <v>0</v>
      </c>
      <c r="AG263" s="602">
        <f t="shared" ref="AG263:AG326" si="94">+AF263/900</f>
        <v>0</v>
      </c>
      <c r="AH263" s="603">
        <f t="shared" ref="AH263:AH326" si="95">SUM(Y263,AA263,AC263,AE263)</f>
        <v>0</v>
      </c>
      <c r="AI263" s="603">
        <f t="shared" ref="AI263:AI326" si="96">+AH263/900</f>
        <v>0</v>
      </c>
      <c r="AJ263" s="298"/>
      <c r="AK263" s="299"/>
      <c r="AL263" s="601">
        <f t="shared" ref="AL263:AL326" si="97">IF(ISBLANK(AJ263),0,AF263)</f>
        <v>0</v>
      </c>
      <c r="AM263" s="604">
        <f t="shared" ref="AM263:AM326" si="98">IF(ISBLANK(AK263),0,AH263)</f>
        <v>0</v>
      </c>
      <c r="AN263" s="306"/>
      <c r="AO263" s="307"/>
      <c r="AP263" s="298">
        <v>25020</v>
      </c>
      <c r="AQ263" s="307">
        <v>25491</v>
      </c>
      <c r="AR263" s="298">
        <v>13410</v>
      </c>
      <c r="AS263" s="307">
        <v>13236</v>
      </c>
      <c r="AT263" s="298">
        <v>26131</v>
      </c>
      <c r="AU263" s="307">
        <v>25947</v>
      </c>
      <c r="AV263" s="601">
        <f t="shared" ref="AV263:AV326" si="99">SUM(AN263,AP263,AR263,AT263)</f>
        <v>64561</v>
      </c>
      <c r="AW263" s="609">
        <f t="shared" ref="AW263:AW326" si="100">+AV263/24</f>
        <v>2690.0416666666665</v>
      </c>
      <c r="AX263" s="603">
        <f t="shared" ref="AX263:AX326" si="101">SUM(AO263,AQ263,AS263,AU263)</f>
        <v>64674</v>
      </c>
      <c r="AY263" s="610">
        <f t="shared" ref="AY263:AY326" si="102">+AX263/24</f>
        <v>2694.75</v>
      </c>
      <c r="AZ263" s="611">
        <f t="shared" ref="AZ263:AZ326" si="103">SUM(Q263,AG263,AW263)</f>
        <v>16638.075000000001</v>
      </c>
      <c r="BA263" s="603">
        <f t="shared" ref="BA263:BA326" si="104">SUM(S263,AI263,AY263)</f>
        <v>17428.083333333336</v>
      </c>
    </row>
    <row r="264" spans="1:53">
      <c r="A264" s="429" t="s">
        <v>162</v>
      </c>
      <c r="B264" s="371" t="s">
        <v>465</v>
      </c>
      <c r="C264" s="371"/>
      <c r="D264" s="369">
        <v>176372</v>
      </c>
      <c r="E264" s="369">
        <v>1</v>
      </c>
      <c r="F264" s="296" t="s">
        <v>52</v>
      </c>
      <c r="G264" s="297" t="s">
        <v>52</v>
      </c>
      <c r="H264" s="298"/>
      <c r="I264" s="299"/>
      <c r="J264" s="298">
        <v>146148</v>
      </c>
      <c r="K264" s="299">
        <v>147446</v>
      </c>
      <c r="L264" s="298">
        <v>34688</v>
      </c>
      <c r="M264" s="299">
        <v>33772</v>
      </c>
      <c r="N264" s="298">
        <v>161808</v>
      </c>
      <c r="O264" s="299">
        <v>167105</v>
      </c>
      <c r="P264" s="601">
        <f t="shared" si="87"/>
        <v>342644</v>
      </c>
      <c r="Q264" s="602">
        <f t="shared" si="88"/>
        <v>11421.466666666667</v>
      </c>
      <c r="R264" s="603">
        <f t="shared" si="89"/>
        <v>348323</v>
      </c>
      <c r="S264" s="604">
        <f t="shared" si="90"/>
        <v>11610.766666666666</v>
      </c>
      <c r="T264" s="298"/>
      <c r="U264" s="299"/>
      <c r="V264" s="601">
        <f t="shared" si="91"/>
        <v>0</v>
      </c>
      <c r="W264" s="605">
        <f t="shared" si="92"/>
        <v>0</v>
      </c>
      <c r="X264" s="305"/>
      <c r="Y264" s="299"/>
      <c r="Z264" s="298"/>
      <c r="AA264" s="299"/>
      <c r="AB264" s="298"/>
      <c r="AC264" s="299"/>
      <c r="AD264" s="298"/>
      <c r="AE264" s="299"/>
      <c r="AF264" s="601">
        <f t="shared" si="93"/>
        <v>0</v>
      </c>
      <c r="AG264" s="602">
        <f t="shared" si="94"/>
        <v>0</v>
      </c>
      <c r="AH264" s="603">
        <f t="shared" si="95"/>
        <v>0</v>
      </c>
      <c r="AI264" s="603">
        <f t="shared" si="96"/>
        <v>0</v>
      </c>
      <c r="AJ264" s="298"/>
      <c r="AK264" s="299"/>
      <c r="AL264" s="601">
        <f t="shared" si="97"/>
        <v>0</v>
      </c>
      <c r="AM264" s="604">
        <f t="shared" si="98"/>
        <v>0</v>
      </c>
      <c r="AN264" s="306"/>
      <c r="AO264" s="307"/>
      <c r="AP264" s="298">
        <v>22861</v>
      </c>
      <c r="AQ264" s="307">
        <v>22878</v>
      </c>
      <c r="AR264" s="298">
        <v>13566</v>
      </c>
      <c r="AS264" s="307">
        <v>12659</v>
      </c>
      <c r="AT264" s="298">
        <v>23117</v>
      </c>
      <c r="AU264" s="307">
        <v>23037</v>
      </c>
      <c r="AV264" s="601">
        <f t="shared" si="99"/>
        <v>59544</v>
      </c>
      <c r="AW264" s="609">
        <f t="shared" si="100"/>
        <v>2481</v>
      </c>
      <c r="AX264" s="603">
        <f t="shared" si="101"/>
        <v>58574</v>
      </c>
      <c r="AY264" s="610">
        <f t="shared" si="102"/>
        <v>2440.5833333333335</v>
      </c>
      <c r="AZ264" s="611">
        <f t="shared" si="103"/>
        <v>13902.466666666667</v>
      </c>
      <c r="BA264" s="603">
        <f t="shared" si="104"/>
        <v>14051.35</v>
      </c>
    </row>
    <row r="265" spans="1:53">
      <c r="A265" s="429" t="s">
        <v>162</v>
      </c>
      <c r="B265" s="371" t="s">
        <v>466</v>
      </c>
      <c r="C265" s="371"/>
      <c r="D265" s="369">
        <v>175856</v>
      </c>
      <c r="E265" s="369">
        <v>2</v>
      </c>
      <c r="F265" s="296" t="s">
        <v>52</v>
      </c>
      <c r="G265" s="297" t="s">
        <v>52</v>
      </c>
      <c r="H265" s="298"/>
      <c r="I265" s="299"/>
      <c r="J265" s="298">
        <v>67287</v>
      </c>
      <c r="K265" s="299">
        <v>72271.5</v>
      </c>
      <c r="L265" s="298">
        <v>17790</v>
      </c>
      <c r="M265" s="299">
        <v>20164</v>
      </c>
      <c r="N265" s="298">
        <v>77433</v>
      </c>
      <c r="O265" s="299">
        <v>78970</v>
      </c>
      <c r="P265" s="601">
        <f t="shared" si="87"/>
        <v>162510</v>
      </c>
      <c r="Q265" s="602">
        <f t="shared" si="88"/>
        <v>5417</v>
      </c>
      <c r="R265" s="603">
        <f t="shared" si="89"/>
        <v>171405.5</v>
      </c>
      <c r="S265" s="604">
        <f t="shared" si="90"/>
        <v>5713.5166666666664</v>
      </c>
      <c r="T265" s="298"/>
      <c r="U265" s="299"/>
      <c r="V265" s="601">
        <f t="shared" si="91"/>
        <v>0</v>
      </c>
      <c r="W265" s="605">
        <f t="shared" si="92"/>
        <v>0</v>
      </c>
      <c r="X265" s="305"/>
      <c r="Y265" s="299"/>
      <c r="Z265" s="298"/>
      <c r="AA265" s="299"/>
      <c r="AB265" s="298"/>
      <c r="AC265" s="299"/>
      <c r="AD265" s="298"/>
      <c r="AE265" s="299"/>
      <c r="AF265" s="601">
        <f t="shared" si="93"/>
        <v>0</v>
      </c>
      <c r="AG265" s="602">
        <f t="shared" si="94"/>
        <v>0</v>
      </c>
      <c r="AH265" s="603">
        <f t="shared" si="95"/>
        <v>0</v>
      </c>
      <c r="AI265" s="603">
        <f t="shared" si="96"/>
        <v>0</v>
      </c>
      <c r="AJ265" s="298"/>
      <c r="AK265" s="299"/>
      <c r="AL265" s="601">
        <f t="shared" si="97"/>
        <v>0</v>
      </c>
      <c r="AM265" s="604">
        <f t="shared" si="98"/>
        <v>0</v>
      </c>
      <c r="AN265" s="306"/>
      <c r="AO265" s="307"/>
      <c r="AP265" s="298">
        <v>11187</v>
      </c>
      <c r="AQ265" s="307">
        <v>13962</v>
      </c>
      <c r="AR265" s="298">
        <v>5668</v>
      </c>
      <c r="AS265" s="307">
        <v>6313</v>
      </c>
      <c r="AT265" s="298">
        <v>14062</v>
      </c>
      <c r="AU265" s="307">
        <v>13886</v>
      </c>
      <c r="AV265" s="601">
        <f t="shared" si="99"/>
        <v>30917</v>
      </c>
      <c r="AW265" s="609">
        <f t="shared" si="100"/>
        <v>1288.2083333333333</v>
      </c>
      <c r="AX265" s="603">
        <f t="shared" si="101"/>
        <v>34161</v>
      </c>
      <c r="AY265" s="610">
        <f t="shared" si="102"/>
        <v>1423.375</v>
      </c>
      <c r="AZ265" s="611">
        <f t="shared" si="103"/>
        <v>6705.208333333333</v>
      </c>
      <c r="BA265" s="603">
        <f t="shared" si="104"/>
        <v>7136.8916666666664</v>
      </c>
    </row>
    <row r="266" spans="1:53">
      <c r="A266" s="429" t="s">
        <v>162</v>
      </c>
      <c r="B266" s="371" t="s">
        <v>467</v>
      </c>
      <c r="C266" s="443" t="s">
        <v>719</v>
      </c>
      <c r="D266" s="369">
        <v>176017</v>
      </c>
      <c r="E266" s="369">
        <v>2</v>
      </c>
      <c r="F266" s="296" t="s">
        <v>52</v>
      </c>
      <c r="G266" s="297" t="s">
        <v>52</v>
      </c>
      <c r="H266" s="298"/>
      <c r="I266" s="299"/>
      <c r="J266" s="298">
        <v>174439</v>
      </c>
      <c r="K266" s="299">
        <v>188344</v>
      </c>
      <c r="L266" s="298">
        <v>47603</v>
      </c>
      <c r="M266" s="299">
        <v>47586</v>
      </c>
      <c r="N266" s="298">
        <v>192683</v>
      </c>
      <c r="O266" s="299">
        <v>206970</v>
      </c>
      <c r="P266" s="601">
        <f t="shared" si="87"/>
        <v>414725</v>
      </c>
      <c r="Q266" s="602">
        <f t="shared" si="88"/>
        <v>13824.166666666666</v>
      </c>
      <c r="R266" s="603">
        <f t="shared" si="89"/>
        <v>442900</v>
      </c>
      <c r="S266" s="604">
        <f t="shared" si="90"/>
        <v>14763.333333333334</v>
      </c>
      <c r="T266" s="298"/>
      <c r="U266" s="299"/>
      <c r="V266" s="601">
        <f t="shared" si="91"/>
        <v>0</v>
      </c>
      <c r="W266" s="605">
        <f t="shared" si="92"/>
        <v>0</v>
      </c>
      <c r="X266" s="305"/>
      <c r="Y266" s="299"/>
      <c r="Z266" s="298"/>
      <c r="AA266" s="299"/>
      <c r="AB266" s="298"/>
      <c r="AC266" s="299"/>
      <c r="AD266" s="298"/>
      <c r="AE266" s="299"/>
      <c r="AF266" s="601">
        <f t="shared" si="93"/>
        <v>0</v>
      </c>
      <c r="AG266" s="602">
        <f t="shared" si="94"/>
        <v>0</v>
      </c>
      <c r="AH266" s="603">
        <f t="shared" si="95"/>
        <v>0</v>
      </c>
      <c r="AI266" s="603">
        <f t="shared" si="96"/>
        <v>0</v>
      </c>
      <c r="AJ266" s="298"/>
      <c r="AK266" s="299"/>
      <c r="AL266" s="601">
        <f t="shared" si="97"/>
        <v>0</v>
      </c>
      <c r="AM266" s="604">
        <f t="shared" si="98"/>
        <v>0</v>
      </c>
      <c r="AN266" s="306"/>
      <c r="AO266" s="307"/>
      <c r="AP266" s="298">
        <v>22719</v>
      </c>
      <c r="AQ266" s="307">
        <v>24242</v>
      </c>
      <c r="AR266" s="298">
        <v>8918</v>
      </c>
      <c r="AS266" s="307">
        <v>9101</v>
      </c>
      <c r="AT266" s="298">
        <v>25209</v>
      </c>
      <c r="AU266" s="307">
        <v>25424</v>
      </c>
      <c r="AV266" s="601">
        <f t="shared" si="99"/>
        <v>56846</v>
      </c>
      <c r="AW266" s="609">
        <f t="shared" si="100"/>
        <v>2368.5833333333335</v>
      </c>
      <c r="AX266" s="603">
        <f t="shared" si="101"/>
        <v>58767</v>
      </c>
      <c r="AY266" s="610">
        <f t="shared" si="102"/>
        <v>2448.625</v>
      </c>
      <c r="AZ266" s="611">
        <f t="shared" si="103"/>
        <v>16192.75</v>
      </c>
      <c r="BA266" s="603">
        <f t="shared" si="104"/>
        <v>17211.958333333336</v>
      </c>
    </row>
    <row r="267" spans="1:53">
      <c r="A267" s="429" t="s">
        <v>162</v>
      </c>
      <c r="B267" s="371" t="s">
        <v>468</v>
      </c>
      <c r="C267" s="371"/>
      <c r="D267" s="369">
        <v>175342</v>
      </c>
      <c r="E267" s="369">
        <v>4</v>
      </c>
      <c r="F267" s="296" t="s">
        <v>52</v>
      </c>
      <c r="G267" s="297" t="s">
        <v>52</v>
      </c>
      <c r="H267" s="298"/>
      <c r="I267" s="299"/>
      <c r="J267" s="298">
        <v>34063</v>
      </c>
      <c r="K267" s="299">
        <v>38675</v>
      </c>
      <c r="L267" s="298">
        <v>11173</v>
      </c>
      <c r="M267" s="299">
        <v>12594</v>
      </c>
      <c r="N267" s="298">
        <v>39225</v>
      </c>
      <c r="O267" s="299">
        <v>43097</v>
      </c>
      <c r="P267" s="601">
        <f t="shared" si="87"/>
        <v>84461</v>
      </c>
      <c r="Q267" s="602">
        <f t="shared" si="88"/>
        <v>2815.3666666666668</v>
      </c>
      <c r="R267" s="603">
        <f t="shared" si="89"/>
        <v>94366</v>
      </c>
      <c r="S267" s="604">
        <f t="shared" si="90"/>
        <v>3145.5333333333333</v>
      </c>
      <c r="T267" s="298"/>
      <c r="U267" s="299"/>
      <c r="V267" s="601">
        <f t="shared" si="91"/>
        <v>0</v>
      </c>
      <c r="W267" s="605">
        <f t="shared" si="92"/>
        <v>0</v>
      </c>
      <c r="X267" s="305"/>
      <c r="Y267" s="299"/>
      <c r="Z267" s="298"/>
      <c r="AA267" s="299"/>
      <c r="AB267" s="298"/>
      <c r="AC267" s="299"/>
      <c r="AD267" s="298"/>
      <c r="AE267" s="299"/>
      <c r="AF267" s="601">
        <f t="shared" si="93"/>
        <v>0</v>
      </c>
      <c r="AG267" s="602">
        <f t="shared" si="94"/>
        <v>0</v>
      </c>
      <c r="AH267" s="603">
        <f t="shared" si="95"/>
        <v>0</v>
      </c>
      <c r="AI267" s="603">
        <f t="shared" si="96"/>
        <v>0</v>
      </c>
      <c r="AJ267" s="298"/>
      <c r="AK267" s="299"/>
      <c r="AL267" s="601">
        <f t="shared" si="97"/>
        <v>0</v>
      </c>
      <c r="AM267" s="604">
        <f t="shared" si="98"/>
        <v>0</v>
      </c>
      <c r="AN267" s="306"/>
      <c r="AO267" s="307"/>
      <c r="AP267" s="298">
        <v>4480</v>
      </c>
      <c r="AQ267" s="307">
        <v>4948</v>
      </c>
      <c r="AR267" s="298">
        <v>2823</v>
      </c>
      <c r="AS267" s="307">
        <v>3011</v>
      </c>
      <c r="AT267" s="298">
        <v>4907</v>
      </c>
      <c r="AU267" s="307">
        <v>4928</v>
      </c>
      <c r="AV267" s="601">
        <f t="shared" si="99"/>
        <v>12210</v>
      </c>
      <c r="AW267" s="609">
        <f t="shared" si="100"/>
        <v>508.75</v>
      </c>
      <c r="AX267" s="603">
        <f t="shared" si="101"/>
        <v>12887</v>
      </c>
      <c r="AY267" s="610">
        <f t="shared" si="102"/>
        <v>536.95833333333337</v>
      </c>
      <c r="AZ267" s="611">
        <f t="shared" si="103"/>
        <v>3324.1166666666668</v>
      </c>
      <c r="BA267" s="603">
        <f t="shared" si="104"/>
        <v>3682.4916666666668</v>
      </c>
    </row>
    <row r="268" spans="1:53">
      <c r="A268" s="429" t="s">
        <v>162</v>
      </c>
      <c r="B268" s="371" t="s">
        <v>469</v>
      </c>
      <c r="C268" s="371"/>
      <c r="D268" s="369">
        <v>175616</v>
      </c>
      <c r="E268" s="369">
        <v>4</v>
      </c>
      <c r="F268" s="296" t="s">
        <v>52</v>
      </c>
      <c r="G268" s="297" t="s">
        <v>52</v>
      </c>
      <c r="H268" s="298"/>
      <c r="I268" s="299"/>
      <c r="J268" s="298">
        <v>34723</v>
      </c>
      <c r="K268" s="299">
        <v>33006</v>
      </c>
      <c r="L268" s="298">
        <v>6469</v>
      </c>
      <c r="M268" s="299">
        <v>6548</v>
      </c>
      <c r="N268" s="298">
        <v>36533</v>
      </c>
      <c r="O268" s="299">
        <v>35560</v>
      </c>
      <c r="P268" s="601">
        <f t="shared" si="87"/>
        <v>77725</v>
      </c>
      <c r="Q268" s="602">
        <f t="shared" si="88"/>
        <v>2590.8333333333335</v>
      </c>
      <c r="R268" s="603">
        <f t="shared" si="89"/>
        <v>75114</v>
      </c>
      <c r="S268" s="604">
        <f t="shared" si="90"/>
        <v>2503.8000000000002</v>
      </c>
      <c r="T268" s="298"/>
      <c r="U268" s="299"/>
      <c r="V268" s="601">
        <f t="shared" si="91"/>
        <v>0</v>
      </c>
      <c r="W268" s="605">
        <f t="shared" si="92"/>
        <v>0</v>
      </c>
      <c r="X268" s="305"/>
      <c r="Y268" s="299"/>
      <c r="Z268" s="298"/>
      <c r="AA268" s="299"/>
      <c r="AB268" s="298"/>
      <c r="AC268" s="299"/>
      <c r="AD268" s="298"/>
      <c r="AE268" s="299"/>
      <c r="AF268" s="601">
        <f t="shared" si="93"/>
        <v>0</v>
      </c>
      <c r="AG268" s="602">
        <f t="shared" si="94"/>
        <v>0</v>
      </c>
      <c r="AH268" s="603">
        <f t="shared" si="95"/>
        <v>0</v>
      </c>
      <c r="AI268" s="603">
        <f t="shared" si="96"/>
        <v>0</v>
      </c>
      <c r="AJ268" s="298"/>
      <c r="AK268" s="299"/>
      <c r="AL268" s="601">
        <f t="shared" si="97"/>
        <v>0</v>
      </c>
      <c r="AM268" s="604">
        <f t="shared" si="98"/>
        <v>0</v>
      </c>
      <c r="AN268" s="306"/>
      <c r="AO268" s="307"/>
      <c r="AP268" s="298">
        <v>5594</v>
      </c>
      <c r="AQ268" s="307">
        <v>5602</v>
      </c>
      <c r="AR268" s="298">
        <v>4905</v>
      </c>
      <c r="AS268" s="307">
        <v>4045</v>
      </c>
      <c r="AT268" s="298">
        <v>8949</v>
      </c>
      <c r="AU268" s="307">
        <v>13204</v>
      </c>
      <c r="AV268" s="601">
        <f t="shared" si="99"/>
        <v>19448</v>
      </c>
      <c r="AW268" s="609">
        <f t="shared" si="100"/>
        <v>810.33333333333337</v>
      </c>
      <c r="AX268" s="603">
        <f t="shared" si="101"/>
        <v>22851</v>
      </c>
      <c r="AY268" s="610">
        <f t="shared" si="102"/>
        <v>952.125</v>
      </c>
      <c r="AZ268" s="611">
        <f t="shared" si="103"/>
        <v>3401.166666666667</v>
      </c>
      <c r="BA268" s="603">
        <f t="shared" si="104"/>
        <v>3455.9250000000002</v>
      </c>
    </row>
    <row r="269" spans="1:53">
      <c r="A269" s="429" t="s">
        <v>162</v>
      </c>
      <c r="B269" s="371" t="s">
        <v>470</v>
      </c>
      <c r="C269" s="371"/>
      <c r="D269" s="369">
        <v>176044</v>
      </c>
      <c r="E269" s="369">
        <v>4</v>
      </c>
      <c r="F269" s="296" t="s">
        <v>52</v>
      </c>
      <c r="G269" s="297" t="s">
        <v>52</v>
      </c>
      <c r="H269" s="298"/>
      <c r="I269" s="299"/>
      <c r="J269" s="298">
        <v>28599</v>
      </c>
      <c r="K269" s="299">
        <v>26801</v>
      </c>
      <c r="L269" s="298">
        <v>9499</v>
      </c>
      <c r="M269" s="299">
        <v>8986</v>
      </c>
      <c r="N269" s="298">
        <v>28070</v>
      </c>
      <c r="O269" s="299">
        <v>26495</v>
      </c>
      <c r="P269" s="601">
        <f t="shared" si="87"/>
        <v>66168</v>
      </c>
      <c r="Q269" s="602">
        <f t="shared" si="88"/>
        <v>2205.6</v>
      </c>
      <c r="R269" s="603">
        <f t="shared" si="89"/>
        <v>62282</v>
      </c>
      <c r="S269" s="604">
        <f t="shared" si="90"/>
        <v>2076.0666666666666</v>
      </c>
      <c r="T269" s="298"/>
      <c r="U269" s="299"/>
      <c r="V269" s="601">
        <f t="shared" si="91"/>
        <v>0</v>
      </c>
      <c r="W269" s="605">
        <f t="shared" si="92"/>
        <v>0</v>
      </c>
      <c r="X269" s="305"/>
      <c r="Y269" s="299"/>
      <c r="Z269" s="298"/>
      <c r="AA269" s="299"/>
      <c r="AB269" s="298"/>
      <c r="AC269" s="299"/>
      <c r="AD269" s="298"/>
      <c r="AE269" s="299"/>
      <c r="AF269" s="601">
        <f t="shared" si="93"/>
        <v>0</v>
      </c>
      <c r="AG269" s="602">
        <f t="shared" si="94"/>
        <v>0</v>
      </c>
      <c r="AH269" s="603">
        <f t="shared" si="95"/>
        <v>0</v>
      </c>
      <c r="AI269" s="603">
        <f t="shared" si="96"/>
        <v>0</v>
      </c>
      <c r="AJ269" s="298"/>
      <c r="AK269" s="299"/>
      <c r="AL269" s="601">
        <f t="shared" si="97"/>
        <v>0</v>
      </c>
      <c r="AM269" s="604">
        <f t="shared" si="98"/>
        <v>0</v>
      </c>
      <c r="AN269" s="306"/>
      <c r="AO269" s="307"/>
      <c r="AP269" s="298">
        <v>2611</v>
      </c>
      <c r="AQ269" s="803">
        <v>2846</v>
      </c>
      <c r="AR269" s="298">
        <v>1181</v>
      </c>
      <c r="AS269" s="307">
        <v>831</v>
      </c>
      <c r="AT269" s="298">
        <v>2860</v>
      </c>
      <c r="AU269" s="307">
        <v>2584</v>
      </c>
      <c r="AV269" s="601">
        <f t="shared" si="99"/>
        <v>6652</v>
      </c>
      <c r="AW269" s="609">
        <f t="shared" si="100"/>
        <v>277.16666666666669</v>
      </c>
      <c r="AX269" s="603">
        <f t="shared" si="101"/>
        <v>6261</v>
      </c>
      <c r="AY269" s="610">
        <f t="shared" si="102"/>
        <v>260.875</v>
      </c>
      <c r="AZ269" s="611">
        <f t="shared" si="103"/>
        <v>2482.7666666666664</v>
      </c>
      <c r="BA269" s="603">
        <f t="shared" si="104"/>
        <v>2336.9416666666666</v>
      </c>
    </row>
    <row r="270" spans="1:53">
      <c r="A270" s="429" t="s">
        <v>162</v>
      </c>
      <c r="B270" s="371" t="s">
        <v>471</v>
      </c>
      <c r="C270" s="371"/>
      <c r="D270" s="369">
        <v>176035</v>
      </c>
      <c r="E270" s="369">
        <v>5</v>
      </c>
      <c r="F270" s="296" t="s">
        <v>52</v>
      </c>
      <c r="G270" s="297" t="s">
        <v>52</v>
      </c>
      <c r="H270" s="298"/>
      <c r="I270" s="299"/>
      <c r="J270" s="298">
        <v>25823</v>
      </c>
      <c r="K270" s="299">
        <v>27625</v>
      </c>
      <c r="L270" s="298">
        <v>8354</v>
      </c>
      <c r="M270" s="299">
        <v>10363</v>
      </c>
      <c r="N270" s="298">
        <v>28847</v>
      </c>
      <c r="O270" s="299">
        <v>29636</v>
      </c>
      <c r="P270" s="601">
        <f t="shared" si="87"/>
        <v>63024</v>
      </c>
      <c r="Q270" s="602">
        <f t="shared" si="88"/>
        <v>2100.8000000000002</v>
      </c>
      <c r="R270" s="603">
        <f t="shared" si="89"/>
        <v>67624</v>
      </c>
      <c r="S270" s="604">
        <f t="shared" si="90"/>
        <v>2254.1333333333332</v>
      </c>
      <c r="T270" s="298"/>
      <c r="U270" s="299"/>
      <c r="V270" s="601">
        <f t="shared" si="91"/>
        <v>0</v>
      </c>
      <c r="W270" s="605">
        <f t="shared" si="92"/>
        <v>0</v>
      </c>
      <c r="X270" s="305"/>
      <c r="Y270" s="299"/>
      <c r="Z270" s="298"/>
      <c r="AA270" s="299"/>
      <c r="AB270" s="298"/>
      <c r="AC270" s="299"/>
      <c r="AD270" s="298"/>
      <c r="AE270" s="299"/>
      <c r="AF270" s="601">
        <f t="shared" si="93"/>
        <v>0</v>
      </c>
      <c r="AG270" s="602">
        <f t="shared" si="94"/>
        <v>0</v>
      </c>
      <c r="AH270" s="603">
        <f t="shared" si="95"/>
        <v>0</v>
      </c>
      <c r="AI270" s="603">
        <f t="shared" si="96"/>
        <v>0</v>
      </c>
      <c r="AJ270" s="298"/>
      <c r="AK270" s="299"/>
      <c r="AL270" s="601">
        <f t="shared" si="97"/>
        <v>0</v>
      </c>
      <c r="AM270" s="604">
        <f t="shared" si="98"/>
        <v>0</v>
      </c>
      <c r="AN270" s="306"/>
      <c r="AO270" s="307"/>
      <c r="AP270" s="298">
        <v>1603</v>
      </c>
      <c r="AQ270" s="307">
        <v>1434</v>
      </c>
      <c r="AR270" s="298">
        <v>1380</v>
      </c>
      <c r="AS270" s="307">
        <v>1316</v>
      </c>
      <c r="AT270" s="298">
        <v>1518</v>
      </c>
      <c r="AU270" s="307">
        <v>1510</v>
      </c>
      <c r="AV270" s="601">
        <f t="shared" si="99"/>
        <v>4501</v>
      </c>
      <c r="AW270" s="609">
        <f t="shared" si="100"/>
        <v>187.54166666666666</v>
      </c>
      <c r="AX270" s="603">
        <f t="shared" si="101"/>
        <v>4260</v>
      </c>
      <c r="AY270" s="610">
        <f t="shared" si="102"/>
        <v>177.5</v>
      </c>
      <c r="AZ270" s="611">
        <f t="shared" si="103"/>
        <v>2288.3416666666667</v>
      </c>
      <c r="BA270" s="603">
        <f t="shared" si="104"/>
        <v>2431.6333333333332</v>
      </c>
    </row>
    <row r="271" spans="1:53">
      <c r="A271" s="496" t="s">
        <v>162</v>
      </c>
      <c r="B271" s="497" t="s">
        <v>797</v>
      </c>
      <c r="C271" s="502"/>
      <c r="D271" s="498">
        <v>175786</v>
      </c>
      <c r="E271" s="499">
        <v>8</v>
      </c>
      <c r="F271" s="296" t="s">
        <v>52</v>
      </c>
      <c r="G271" s="297" t="s">
        <v>52</v>
      </c>
      <c r="H271" s="298"/>
      <c r="I271" s="299"/>
      <c r="J271" s="804">
        <v>136623</v>
      </c>
      <c r="K271" s="299">
        <v>141793</v>
      </c>
      <c r="L271" s="298">
        <v>44047</v>
      </c>
      <c r="M271" s="299">
        <v>43282</v>
      </c>
      <c r="N271" s="298">
        <v>159704</v>
      </c>
      <c r="O271" s="299">
        <v>153821</v>
      </c>
      <c r="P271" s="601">
        <f t="shared" si="87"/>
        <v>340374</v>
      </c>
      <c r="Q271" s="602">
        <f t="shared" si="88"/>
        <v>11345.8</v>
      </c>
      <c r="R271" s="603">
        <f t="shared" si="89"/>
        <v>338896</v>
      </c>
      <c r="S271" s="604">
        <f t="shared" si="90"/>
        <v>11296.533333333333</v>
      </c>
      <c r="T271" s="298">
        <v>3287</v>
      </c>
      <c r="U271" s="754">
        <v>3123</v>
      </c>
      <c r="V271" s="601">
        <f t="shared" si="91"/>
        <v>340374</v>
      </c>
      <c r="W271" s="605">
        <f t="shared" si="92"/>
        <v>338896</v>
      </c>
      <c r="X271" s="305"/>
      <c r="Y271" s="299"/>
      <c r="Z271" s="298"/>
      <c r="AA271" s="299"/>
      <c r="AB271" s="298"/>
      <c r="AC271" s="299"/>
      <c r="AD271" s="298"/>
      <c r="AE271" s="299"/>
      <c r="AF271" s="601">
        <f t="shared" si="93"/>
        <v>0</v>
      </c>
      <c r="AG271" s="602">
        <f t="shared" si="94"/>
        <v>0</v>
      </c>
      <c r="AH271" s="603">
        <f t="shared" si="95"/>
        <v>0</v>
      </c>
      <c r="AI271" s="603">
        <f t="shared" si="96"/>
        <v>0</v>
      </c>
      <c r="AJ271" s="298"/>
      <c r="AK271" s="299"/>
      <c r="AL271" s="601">
        <f t="shared" si="97"/>
        <v>0</v>
      </c>
      <c r="AM271" s="604">
        <f t="shared" si="98"/>
        <v>0</v>
      </c>
      <c r="AN271" s="306"/>
      <c r="AO271" s="307"/>
      <c r="AP271" s="298"/>
      <c r="AQ271" s="307"/>
      <c r="AR271" s="298"/>
      <c r="AS271" s="307"/>
      <c r="AT271" s="298"/>
      <c r="AU271" s="307"/>
      <c r="AV271" s="601">
        <f t="shared" si="99"/>
        <v>0</v>
      </c>
      <c r="AW271" s="609">
        <f t="shared" si="100"/>
        <v>0</v>
      </c>
      <c r="AX271" s="603">
        <f t="shared" si="101"/>
        <v>0</v>
      </c>
      <c r="AY271" s="610">
        <f t="shared" si="102"/>
        <v>0</v>
      </c>
      <c r="AZ271" s="611">
        <f t="shared" si="103"/>
        <v>11345.8</v>
      </c>
      <c r="BA271" s="603">
        <f t="shared" si="104"/>
        <v>11296.533333333333</v>
      </c>
    </row>
    <row r="272" spans="1:53">
      <c r="A272" s="496" t="s">
        <v>162</v>
      </c>
      <c r="B272" s="500" t="s">
        <v>798</v>
      </c>
      <c r="C272" s="502" t="s">
        <v>812</v>
      </c>
      <c r="D272" s="498">
        <v>175829</v>
      </c>
      <c r="E272" s="501">
        <v>8</v>
      </c>
      <c r="F272" s="296" t="s">
        <v>52</v>
      </c>
      <c r="G272" s="297" t="s">
        <v>52</v>
      </c>
      <c r="H272" s="298"/>
      <c r="I272" s="299"/>
      <c r="J272" s="804">
        <v>96889</v>
      </c>
      <c r="K272" s="299">
        <v>91528</v>
      </c>
      <c r="L272" s="298">
        <v>27800</v>
      </c>
      <c r="M272" s="299">
        <v>21793</v>
      </c>
      <c r="N272" s="298">
        <v>100640</v>
      </c>
      <c r="O272" s="299">
        <v>90765</v>
      </c>
      <c r="P272" s="601">
        <f t="shared" si="87"/>
        <v>225329</v>
      </c>
      <c r="Q272" s="602">
        <f t="shared" si="88"/>
        <v>7510.9666666666662</v>
      </c>
      <c r="R272" s="603">
        <f t="shared" si="89"/>
        <v>204086</v>
      </c>
      <c r="S272" s="604">
        <f t="shared" si="90"/>
        <v>6802.8666666666668</v>
      </c>
      <c r="T272" s="298">
        <v>1119</v>
      </c>
      <c r="U272" s="754">
        <v>1042</v>
      </c>
      <c r="V272" s="601">
        <f t="shared" si="91"/>
        <v>225329</v>
      </c>
      <c r="W272" s="605">
        <f t="shared" si="92"/>
        <v>204086</v>
      </c>
      <c r="X272" s="305"/>
      <c r="Y272" s="299"/>
      <c r="Z272" s="298"/>
      <c r="AA272" s="299"/>
      <c r="AB272" s="298"/>
      <c r="AC272" s="299"/>
      <c r="AD272" s="298"/>
      <c r="AE272" s="299"/>
      <c r="AF272" s="601">
        <f t="shared" si="93"/>
        <v>0</v>
      </c>
      <c r="AG272" s="602">
        <f t="shared" si="94"/>
        <v>0</v>
      </c>
      <c r="AH272" s="603">
        <f t="shared" si="95"/>
        <v>0</v>
      </c>
      <c r="AI272" s="603">
        <f t="shared" si="96"/>
        <v>0</v>
      </c>
      <c r="AJ272" s="298"/>
      <c r="AK272" s="299"/>
      <c r="AL272" s="601">
        <f t="shared" si="97"/>
        <v>0</v>
      </c>
      <c r="AM272" s="604">
        <f t="shared" si="98"/>
        <v>0</v>
      </c>
      <c r="AN272" s="306"/>
      <c r="AO272" s="307"/>
      <c r="AP272" s="298"/>
      <c r="AQ272" s="307"/>
      <c r="AR272" s="298"/>
      <c r="AS272" s="307"/>
      <c r="AT272" s="298"/>
      <c r="AU272" s="307"/>
      <c r="AV272" s="601">
        <f t="shared" si="99"/>
        <v>0</v>
      </c>
      <c r="AW272" s="609">
        <f t="shared" si="100"/>
        <v>0</v>
      </c>
      <c r="AX272" s="603">
        <f t="shared" si="101"/>
        <v>0</v>
      </c>
      <c r="AY272" s="610">
        <f t="shared" si="102"/>
        <v>0</v>
      </c>
      <c r="AZ272" s="611">
        <f t="shared" si="103"/>
        <v>7510.9666666666662</v>
      </c>
      <c r="BA272" s="603">
        <f t="shared" si="104"/>
        <v>6802.8666666666668</v>
      </c>
    </row>
    <row r="273" spans="1:53">
      <c r="A273" s="496" t="s">
        <v>162</v>
      </c>
      <c r="B273" s="500" t="s">
        <v>799</v>
      </c>
      <c r="C273" s="502" t="s">
        <v>812</v>
      </c>
      <c r="D273" s="498">
        <v>176071</v>
      </c>
      <c r="E273" s="499">
        <v>8</v>
      </c>
      <c r="F273" s="296" t="s">
        <v>52</v>
      </c>
      <c r="G273" s="297" t="s">
        <v>52</v>
      </c>
      <c r="H273" s="805">
        <v>454</v>
      </c>
      <c r="I273" s="572">
        <v>525</v>
      </c>
      <c r="J273" s="804">
        <v>110368</v>
      </c>
      <c r="K273" s="299">
        <v>108752</v>
      </c>
      <c r="L273" s="298">
        <v>31030</v>
      </c>
      <c r="M273" s="299">
        <v>26834</v>
      </c>
      <c r="N273" s="298">
        <v>118765</v>
      </c>
      <c r="O273" s="299">
        <v>118350</v>
      </c>
      <c r="P273" s="601">
        <f t="shared" si="87"/>
        <v>260617</v>
      </c>
      <c r="Q273" s="602">
        <f t="shared" si="88"/>
        <v>8687.2333333333336</v>
      </c>
      <c r="R273" s="603">
        <f t="shared" si="89"/>
        <v>254461</v>
      </c>
      <c r="S273" s="604">
        <f t="shared" si="90"/>
        <v>8482.0333333333328</v>
      </c>
      <c r="T273" s="298">
        <v>1679</v>
      </c>
      <c r="U273" s="754">
        <v>1594</v>
      </c>
      <c r="V273" s="601">
        <f t="shared" si="91"/>
        <v>260617</v>
      </c>
      <c r="W273" s="605">
        <f t="shared" si="92"/>
        <v>254461</v>
      </c>
      <c r="X273" s="305"/>
      <c r="Y273" s="299"/>
      <c r="Z273" s="298"/>
      <c r="AA273" s="299"/>
      <c r="AB273" s="298"/>
      <c r="AC273" s="299"/>
      <c r="AD273" s="298"/>
      <c r="AE273" s="299"/>
      <c r="AF273" s="601">
        <f t="shared" si="93"/>
        <v>0</v>
      </c>
      <c r="AG273" s="602">
        <f t="shared" si="94"/>
        <v>0</v>
      </c>
      <c r="AH273" s="603">
        <f t="shared" si="95"/>
        <v>0</v>
      </c>
      <c r="AI273" s="603">
        <f t="shared" si="96"/>
        <v>0</v>
      </c>
      <c r="AJ273" s="298"/>
      <c r="AK273" s="299"/>
      <c r="AL273" s="601">
        <f t="shared" si="97"/>
        <v>0</v>
      </c>
      <c r="AM273" s="604">
        <f t="shared" si="98"/>
        <v>0</v>
      </c>
      <c r="AN273" s="306"/>
      <c r="AO273" s="307"/>
      <c r="AP273" s="298"/>
      <c r="AQ273" s="307"/>
      <c r="AR273" s="298"/>
      <c r="AS273" s="307"/>
      <c r="AT273" s="298"/>
      <c r="AU273" s="307"/>
      <c r="AV273" s="601">
        <f t="shared" si="99"/>
        <v>0</v>
      </c>
      <c r="AW273" s="609">
        <f t="shared" si="100"/>
        <v>0</v>
      </c>
      <c r="AX273" s="603">
        <f t="shared" si="101"/>
        <v>0</v>
      </c>
      <c r="AY273" s="610">
        <f t="shared" si="102"/>
        <v>0</v>
      </c>
      <c r="AZ273" s="611">
        <f t="shared" si="103"/>
        <v>8687.2333333333336</v>
      </c>
      <c r="BA273" s="603">
        <f t="shared" si="104"/>
        <v>8482.0333333333328</v>
      </c>
    </row>
    <row r="274" spans="1:53">
      <c r="A274" s="496" t="s">
        <v>162</v>
      </c>
      <c r="B274" s="500" t="s">
        <v>800</v>
      </c>
      <c r="C274" s="502" t="s">
        <v>812</v>
      </c>
      <c r="D274" s="498">
        <v>176178</v>
      </c>
      <c r="E274" s="499">
        <v>8</v>
      </c>
      <c r="F274" s="296" t="s">
        <v>52</v>
      </c>
      <c r="G274" s="297" t="s">
        <v>52</v>
      </c>
      <c r="H274" s="298"/>
      <c r="I274" s="299"/>
      <c r="J274" s="804">
        <v>92877</v>
      </c>
      <c r="K274" s="299">
        <v>95084</v>
      </c>
      <c r="L274" s="298">
        <v>25081</v>
      </c>
      <c r="M274" s="299">
        <v>22602</v>
      </c>
      <c r="N274" s="298">
        <v>101767</v>
      </c>
      <c r="O274" s="299">
        <v>97598</v>
      </c>
      <c r="P274" s="601">
        <f t="shared" si="87"/>
        <v>219725</v>
      </c>
      <c r="Q274" s="602">
        <f t="shared" si="88"/>
        <v>7324.166666666667</v>
      </c>
      <c r="R274" s="603">
        <f t="shared" si="89"/>
        <v>215284</v>
      </c>
      <c r="S274" s="604">
        <f t="shared" si="90"/>
        <v>7176.1333333333332</v>
      </c>
      <c r="T274" s="298">
        <v>745</v>
      </c>
      <c r="U274" s="754">
        <v>2002</v>
      </c>
      <c r="V274" s="601">
        <f t="shared" si="91"/>
        <v>219725</v>
      </c>
      <c r="W274" s="605">
        <f t="shared" si="92"/>
        <v>215284</v>
      </c>
      <c r="X274" s="305"/>
      <c r="Y274" s="299"/>
      <c r="Z274" s="298"/>
      <c r="AA274" s="299"/>
      <c r="AB274" s="298"/>
      <c r="AC274" s="299"/>
      <c r="AD274" s="298"/>
      <c r="AE274" s="299"/>
      <c r="AF274" s="601">
        <f t="shared" si="93"/>
        <v>0</v>
      </c>
      <c r="AG274" s="602">
        <f t="shared" si="94"/>
        <v>0</v>
      </c>
      <c r="AH274" s="603">
        <f t="shared" si="95"/>
        <v>0</v>
      </c>
      <c r="AI274" s="603">
        <f t="shared" si="96"/>
        <v>0</v>
      </c>
      <c r="AJ274" s="298"/>
      <c r="AK274" s="299"/>
      <c r="AL274" s="601">
        <f t="shared" si="97"/>
        <v>0</v>
      </c>
      <c r="AM274" s="604">
        <f t="shared" si="98"/>
        <v>0</v>
      </c>
      <c r="AN274" s="306"/>
      <c r="AO274" s="307"/>
      <c r="AP274" s="298"/>
      <c r="AQ274" s="307"/>
      <c r="AR274" s="298"/>
      <c r="AS274" s="307"/>
      <c r="AT274" s="298"/>
      <c r="AU274" s="307"/>
      <c r="AV274" s="601">
        <f t="shared" si="99"/>
        <v>0</v>
      </c>
      <c r="AW274" s="609">
        <f t="shared" si="100"/>
        <v>0</v>
      </c>
      <c r="AX274" s="603">
        <f t="shared" si="101"/>
        <v>0</v>
      </c>
      <c r="AY274" s="610">
        <f t="shared" si="102"/>
        <v>0</v>
      </c>
      <c r="AZ274" s="611">
        <f t="shared" si="103"/>
        <v>7324.166666666667</v>
      </c>
      <c r="BA274" s="603">
        <f t="shared" si="104"/>
        <v>7176.1333333333332</v>
      </c>
    </row>
    <row r="275" spans="1:53">
      <c r="A275" s="496" t="s">
        <v>162</v>
      </c>
      <c r="B275" s="500" t="s">
        <v>801</v>
      </c>
      <c r="C275" s="502" t="s">
        <v>813</v>
      </c>
      <c r="D275" s="498">
        <v>175573</v>
      </c>
      <c r="E275" s="499">
        <v>9</v>
      </c>
      <c r="F275" s="296" t="s">
        <v>52</v>
      </c>
      <c r="G275" s="297" t="s">
        <v>52</v>
      </c>
      <c r="H275" s="298"/>
      <c r="I275" s="299"/>
      <c r="J275" s="804">
        <v>45122</v>
      </c>
      <c r="K275" s="299">
        <v>42906</v>
      </c>
      <c r="L275" s="298">
        <v>11781</v>
      </c>
      <c r="M275" s="299">
        <v>10797</v>
      </c>
      <c r="N275" s="298">
        <v>48670</v>
      </c>
      <c r="O275" s="299">
        <v>45936</v>
      </c>
      <c r="P275" s="601">
        <f t="shared" si="87"/>
        <v>105573</v>
      </c>
      <c r="Q275" s="602">
        <f t="shared" si="88"/>
        <v>3519.1</v>
      </c>
      <c r="R275" s="603">
        <f t="shared" si="89"/>
        <v>99639</v>
      </c>
      <c r="S275" s="604">
        <f t="shared" si="90"/>
        <v>3321.3</v>
      </c>
      <c r="T275" s="298">
        <v>1172</v>
      </c>
      <c r="U275" s="754">
        <v>1041</v>
      </c>
      <c r="V275" s="601">
        <f t="shared" si="91"/>
        <v>105573</v>
      </c>
      <c r="W275" s="605">
        <f t="shared" si="92"/>
        <v>99639</v>
      </c>
      <c r="X275" s="305"/>
      <c r="Y275" s="299"/>
      <c r="Z275" s="298"/>
      <c r="AA275" s="299"/>
      <c r="AB275" s="298"/>
      <c r="AC275" s="299"/>
      <c r="AD275" s="298"/>
      <c r="AE275" s="299"/>
      <c r="AF275" s="601">
        <f t="shared" si="93"/>
        <v>0</v>
      </c>
      <c r="AG275" s="602">
        <f t="shared" si="94"/>
        <v>0</v>
      </c>
      <c r="AH275" s="603">
        <f t="shared" si="95"/>
        <v>0</v>
      </c>
      <c r="AI275" s="603">
        <f t="shared" si="96"/>
        <v>0</v>
      </c>
      <c r="AJ275" s="298"/>
      <c r="AK275" s="299"/>
      <c r="AL275" s="601">
        <f t="shared" si="97"/>
        <v>0</v>
      </c>
      <c r="AM275" s="604">
        <f t="shared" si="98"/>
        <v>0</v>
      </c>
      <c r="AN275" s="306"/>
      <c r="AO275" s="307"/>
      <c r="AP275" s="298"/>
      <c r="AQ275" s="307"/>
      <c r="AR275" s="298"/>
      <c r="AS275" s="307"/>
      <c r="AT275" s="298"/>
      <c r="AU275" s="307"/>
      <c r="AV275" s="601">
        <f t="shared" si="99"/>
        <v>0</v>
      </c>
      <c r="AW275" s="609">
        <f t="shared" si="100"/>
        <v>0</v>
      </c>
      <c r="AX275" s="603">
        <f t="shared" si="101"/>
        <v>0</v>
      </c>
      <c r="AY275" s="610">
        <f t="shared" si="102"/>
        <v>0</v>
      </c>
      <c r="AZ275" s="611">
        <f t="shared" si="103"/>
        <v>3519.1</v>
      </c>
      <c r="BA275" s="603">
        <f t="shared" si="104"/>
        <v>3321.3</v>
      </c>
    </row>
    <row r="276" spans="1:53">
      <c r="A276" s="496" t="s">
        <v>162</v>
      </c>
      <c r="B276" s="500" t="s">
        <v>802</v>
      </c>
      <c r="C276" s="502" t="s">
        <v>813</v>
      </c>
      <c r="D276" s="498">
        <v>175643</v>
      </c>
      <c r="E276" s="499">
        <v>9</v>
      </c>
      <c r="F276" s="296" t="s">
        <v>52</v>
      </c>
      <c r="G276" s="297" t="s">
        <v>52</v>
      </c>
      <c r="H276" s="298"/>
      <c r="I276" s="299"/>
      <c r="J276" s="804">
        <v>31498</v>
      </c>
      <c r="K276" s="299">
        <v>30047</v>
      </c>
      <c r="L276" s="298">
        <v>7614</v>
      </c>
      <c r="M276" s="299">
        <v>7605</v>
      </c>
      <c r="N276" s="298">
        <v>33326</v>
      </c>
      <c r="O276" s="299">
        <v>33007</v>
      </c>
      <c r="P276" s="601">
        <f t="shared" si="87"/>
        <v>72438</v>
      </c>
      <c r="Q276" s="602">
        <f t="shared" si="88"/>
        <v>2414.6</v>
      </c>
      <c r="R276" s="603">
        <f t="shared" si="89"/>
        <v>70659</v>
      </c>
      <c r="S276" s="604">
        <f t="shared" si="90"/>
        <v>2355.3000000000002</v>
      </c>
      <c r="T276" s="298">
        <v>333</v>
      </c>
      <c r="U276" s="754">
        <v>1053</v>
      </c>
      <c r="V276" s="601">
        <f t="shared" si="91"/>
        <v>72438</v>
      </c>
      <c r="W276" s="605">
        <f t="shared" si="92"/>
        <v>70659</v>
      </c>
      <c r="X276" s="305"/>
      <c r="Y276" s="299"/>
      <c r="Z276" s="298"/>
      <c r="AA276" s="299"/>
      <c r="AB276" s="298"/>
      <c r="AC276" s="299"/>
      <c r="AD276" s="298"/>
      <c r="AE276" s="299"/>
      <c r="AF276" s="601">
        <f t="shared" si="93"/>
        <v>0</v>
      </c>
      <c r="AG276" s="602">
        <f t="shared" si="94"/>
        <v>0</v>
      </c>
      <c r="AH276" s="603">
        <f t="shared" si="95"/>
        <v>0</v>
      </c>
      <c r="AI276" s="603">
        <f t="shared" si="96"/>
        <v>0</v>
      </c>
      <c r="AJ276" s="298"/>
      <c r="AK276" s="299"/>
      <c r="AL276" s="601">
        <f t="shared" si="97"/>
        <v>0</v>
      </c>
      <c r="AM276" s="604">
        <f t="shared" si="98"/>
        <v>0</v>
      </c>
      <c r="AN276" s="306"/>
      <c r="AO276" s="307"/>
      <c r="AP276" s="298"/>
      <c r="AQ276" s="307"/>
      <c r="AR276" s="298"/>
      <c r="AS276" s="307"/>
      <c r="AT276" s="298"/>
      <c r="AU276" s="307"/>
      <c r="AV276" s="601">
        <f t="shared" si="99"/>
        <v>0</v>
      </c>
      <c r="AW276" s="609">
        <f t="shared" si="100"/>
        <v>0</v>
      </c>
      <c r="AX276" s="603">
        <f t="shared" si="101"/>
        <v>0</v>
      </c>
      <c r="AY276" s="610">
        <f t="shared" si="102"/>
        <v>0</v>
      </c>
      <c r="AZ276" s="611">
        <f t="shared" si="103"/>
        <v>2414.6</v>
      </c>
      <c r="BA276" s="603">
        <f t="shared" si="104"/>
        <v>2355.3000000000002</v>
      </c>
    </row>
    <row r="277" spans="1:53">
      <c r="A277" s="496" t="s">
        <v>162</v>
      </c>
      <c r="B277" s="500" t="s">
        <v>803</v>
      </c>
      <c r="C277" s="502"/>
      <c r="D277" s="498">
        <v>175652</v>
      </c>
      <c r="E277" s="499">
        <v>9</v>
      </c>
      <c r="F277" s="296" t="s">
        <v>52</v>
      </c>
      <c r="G277" s="297" t="s">
        <v>52</v>
      </c>
      <c r="H277" s="298"/>
      <c r="I277" s="299"/>
      <c r="J277" s="804">
        <v>53353</v>
      </c>
      <c r="K277" s="299">
        <v>54193</v>
      </c>
      <c r="L277" s="298">
        <v>21313</v>
      </c>
      <c r="M277" s="299">
        <v>18297</v>
      </c>
      <c r="N277" s="298">
        <v>59562</v>
      </c>
      <c r="O277" s="299">
        <v>57188</v>
      </c>
      <c r="P277" s="601">
        <f t="shared" si="87"/>
        <v>134228</v>
      </c>
      <c r="Q277" s="602">
        <f t="shared" si="88"/>
        <v>4474.2666666666664</v>
      </c>
      <c r="R277" s="603">
        <f t="shared" si="89"/>
        <v>129678</v>
      </c>
      <c r="S277" s="604">
        <f t="shared" si="90"/>
        <v>4322.6000000000004</v>
      </c>
      <c r="T277" s="298">
        <v>841</v>
      </c>
      <c r="U277" s="754">
        <v>412</v>
      </c>
      <c r="V277" s="601">
        <f t="shared" si="91"/>
        <v>134228</v>
      </c>
      <c r="W277" s="605">
        <f t="shared" si="92"/>
        <v>129678</v>
      </c>
      <c r="X277" s="305"/>
      <c r="Y277" s="299"/>
      <c r="Z277" s="298"/>
      <c r="AA277" s="299"/>
      <c r="AB277" s="298"/>
      <c r="AC277" s="299"/>
      <c r="AD277" s="298"/>
      <c r="AE277" s="299"/>
      <c r="AF277" s="601">
        <f t="shared" si="93"/>
        <v>0</v>
      </c>
      <c r="AG277" s="602">
        <f t="shared" si="94"/>
        <v>0</v>
      </c>
      <c r="AH277" s="603">
        <f t="shared" si="95"/>
        <v>0</v>
      </c>
      <c r="AI277" s="603">
        <f t="shared" si="96"/>
        <v>0</v>
      </c>
      <c r="AJ277" s="298"/>
      <c r="AK277" s="299"/>
      <c r="AL277" s="601">
        <f t="shared" si="97"/>
        <v>0</v>
      </c>
      <c r="AM277" s="604">
        <f t="shared" si="98"/>
        <v>0</v>
      </c>
      <c r="AN277" s="306"/>
      <c r="AO277" s="307"/>
      <c r="AP277" s="298"/>
      <c r="AQ277" s="307"/>
      <c r="AR277" s="298"/>
      <c r="AS277" s="307"/>
      <c r="AT277" s="298"/>
      <c r="AU277" s="307"/>
      <c r="AV277" s="601">
        <f t="shared" si="99"/>
        <v>0</v>
      </c>
      <c r="AW277" s="609">
        <f t="shared" si="100"/>
        <v>0</v>
      </c>
      <c r="AX277" s="603">
        <f t="shared" si="101"/>
        <v>0</v>
      </c>
      <c r="AY277" s="610">
        <f t="shared" si="102"/>
        <v>0</v>
      </c>
      <c r="AZ277" s="611">
        <f t="shared" si="103"/>
        <v>4474.2666666666664</v>
      </c>
      <c r="BA277" s="603">
        <f t="shared" si="104"/>
        <v>4322.6000000000004</v>
      </c>
    </row>
    <row r="278" spans="1:53">
      <c r="A278" s="496" t="s">
        <v>162</v>
      </c>
      <c r="B278" s="500" t="s">
        <v>804</v>
      </c>
      <c r="C278" s="502"/>
      <c r="D278" s="498">
        <v>175810</v>
      </c>
      <c r="E278" s="499">
        <v>9</v>
      </c>
      <c r="F278" s="296" t="s">
        <v>52</v>
      </c>
      <c r="G278" s="297" t="s">
        <v>52</v>
      </c>
      <c r="H278" s="298"/>
      <c r="I278" s="299"/>
      <c r="J278" s="804">
        <v>67806</v>
      </c>
      <c r="K278" s="299">
        <v>69544</v>
      </c>
      <c r="L278" s="298">
        <v>21149</v>
      </c>
      <c r="M278" s="299">
        <v>21647</v>
      </c>
      <c r="N278" s="298">
        <v>72668</v>
      </c>
      <c r="O278" s="299">
        <v>72931</v>
      </c>
      <c r="P278" s="601">
        <f t="shared" si="87"/>
        <v>161623</v>
      </c>
      <c r="Q278" s="602">
        <f t="shared" si="88"/>
        <v>5387.4333333333334</v>
      </c>
      <c r="R278" s="603">
        <f t="shared" si="89"/>
        <v>164122</v>
      </c>
      <c r="S278" s="604">
        <f t="shared" si="90"/>
        <v>5470.7333333333336</v>
      </c>
      <c r="T278" s="298">
        <v>1371</v>
      </c>
      <c r="U278" s="754">
        <v>1224</v>
      </c>
      <c r="V278" s="601">
        <f t="shared" si="91"/>
        <v>161623</v>
      </c>
      <c r="W278" s="605">
        <f t="shared" si="92"/>
        <v>164122</v>
      </c>
      <c r="X278" s="305"/>
      <c r="Y278" s="299"/>
      <c r="Z278" s="298"/>
      <c r="AA278" s="299"/>
      <c r="AB278" s="298"/>
      <c r="AC278" s="299"/>
      <c r="AD278" s="298"/>
      <c r="AE278" s="299"/>
      <c r="AF278" s="601">
        <f t="shared" si="93"/>
        <v>0</v>
      </c>
      <c r="AG278" s="602">
        <f t="shared" si="94"/>
        <v>0</v>
      </c>
      <c r="AH278" s="603">
        <f t="shared" si="95"/>
        <v>0</v>
      </c>
      <c r="AI278" s="603">
        <f t="shared" si="96"/>
        <v>0</v>
      </c>
      <c r="AJ278" s="298"/>
      <c r="AK278" s="299"/>
      <c r="AL278" s="601">
        <f t="shared" si="97"/>
        <v>0</v>
      </c>
      <c r="AM278" s="604">
        <f t="shared" si="98"/>
        <v>0</v>
      </c>
      <c r="AN278" s="306"/>
      <c r="AO278" s="307"/>
      <c r="AP278" s="298"/>
      <c r="AQ278" s="307"/>
      <c r="AR278" s="298"/>
      <c r="AS278" s="307"/>
      <c r="AT278" s="298"/>
      <c r="AU278" s="307"/>
      <c r="AV278" s="601">
        <f t="shared" si="99"/>
        <v>0</v>
      </c>
      <c r="AW278" s="609">
        <f t="shared" si="100"/>
        <v>0</v>
      </c>
      <c r="AX278" s="603">
        <f t="shared" si="101"/>
        <v>0</v>
      </c>
      <c r="AY278" s="610">
        <f t="shared" si="102"/>
        <v>0</v>
      </c>
      <c r="AZ278" s="611">
        <f t="shared" si="103"/>
        <v>5387.4333333333334</v>
      </c>
      <c r="BA278" s="603">
        <f t="shared" si="104"/>
        <v>5470.7333333333336</v>
      </c>
    </row>
    <row r="279" spans="1:53">
      <c r="A279" s="496" t="s">
        <v>162</v>
      </c>
      <c r="B279" s="500" t="s">
        <v>805</v>
      </c>
      <c r="C279" s="502"/>
      <c r="D279" s="498">
        <v>175883</v>
      </c>
      <c r="E279" s="499">
        <v>9</v>
      </c>
      <c r="F279" s="296" t="s">
        <v>52</v>
      </c>
      <c r="G279" s="297" t="s">
        <v>52</v>
      </c>
      <c r="H279" s="298"/>
      <c r="I279" s="299"/>
      <c r="J279" s="804">
        <v>62805</v>
      </c>
      <c r="K279" s="299">
        <v>60439</v>
      </c>
      <c r="L279" s="298">
        <v>19646</v>
      </c>
      <c r="M279" s="299">
        <v>16482</v>
      </c>
      <c r="N279" s="298">
        <v>69180</v>
      </c>
      <c r="O279" s="299">
        <v>62145</v>
      </c>
      <c r="P279" s="601">
        <f t="shared" si="87"/>
        <v>151631</v>
      </c>
      <c r="Q279" s="602">
        <f t="shared" si="88"/>
        <v>5054.3666666666668</v>
      </c>
      <c r="R279" s="603">
        <f t="shared" si="89"/>
        <v>139066</v>
      </c>
      <c r="S279" s="604">
        <f t="shared" si="90"/>
        <v>4635.5333333333338</v>
      </c>
      <c r="T279" s="298">
        <v>1739</v>
      </c>
      <c r="U279" s="754">
        <v>1694</v>
      </c>
      <c r="V279" s="601">
        <f t="shared" si="91"/>
        <v>151631</v>
      </c>
      <c r="W279" s="605">
        <f t="shared" si="92"/>
        <v>139066</v>
      </c>
      <c r="X279" s="305"/>
      <c r="Y279" s="299"/>
      <c r="Z279" s="298"/>
      <c r="AA279" s="299"/>
      <c r="AB279" s="298"/>
      <c r="AC279" s="299"/>
      <c r="AD279" s="298"/>
      <c r="AE279" s="299"/>
      <c r="AF279" s="601">
        <f t="shared" si="93"/>
        <v>0</v>
      </c>
      <c r="AG279" s="602">
        <f t="shared" si="94"/>
        <v>0</v>
      </c>
      <c r="AH279" s="603">
        <f t="shared" si="95"/>
        <v>0</v>
      </c>
      <c r="AI279" s="603">
        <f t="shared" si="96"/>
        <v>0</v>
      </c>
      <c r="AJ279" s="298"/>
      <c r="AK279" s="299"/>
      <c r="AL279" s="601">
        <f t="shared" si="97"/>
        <v>0</v>
      </c>
      <c r="AM279" s="604">
        <f t="shared" si="98"/>
        <v>0</v>
      </c>
      <c r="AN279" s="306"/>
      <c r="AO279" s="307"/>
      <c r="AP279" s="298"/>
      <c r="AQ279" s="307"/>
      <c r="AR279" s="298"/>
      <c r="AS279" s="307"/>
      <c r="AT279" s="298"/>
      <c r="AU279" s="307"/>
      <c r="AV279" s="601">
        <f t="shared" si="99"/>
        <v>0</v>
      </c>
      <c r="AW279" s="609">
        <f t="shared" si="100"/>
        <v>0</v>
      </c>
      <c r="AX279" s="603">
        <f t="shared" si="101"/>
        <v>0</v>
      </c>
      <c r="AY279" s="610">
        <f t="shared" si="102"/>
        <v>0</v>
      </c>
      <c r="AZ279" s="611">
        <f t="shared" si="103"/>
        <v>5054.3666666666668</v>
      </c>
      <c r="BA279" s="603">
        <f t="shared" si="104"/>
        <v>4635.5333333333338</v>
      </c>
    </row>
    <row r="280" spans="1:53">
      <c r="A280" s="496" t="s">
        <v>162</v>
      </c>
      <c r="B280" s="500" t="s">
        <v>806</v>
      </c>
      <c r="C280" s="502" t="s">
        <v>813</v>
      </c>
      <c r="D280" s="498">
        <v>175935</v>
      </c>
      <c r="E280" s="499">
        <v>9</v>
      </c>
      <c r="F280" s="296" t="s">
        <v>52</v>
      </c>
      <c r="G280" s="297" t="s">
        <v>52</v>
      </c>
      <c r="H280" s="298"/>
      <c r="I280" s="299"/>
      <c r="J280" s="804">
        <v>44956</v>
      </c>
      <c r="K280" s="299">
        <v>43146</v>
      </c>
      <c r="L280" s="298">
        <v>9593</v>
      </c>
      <c r="M280" s="299">
        <v>9237</v>
      </c>
      <c r="N280" s="298">
        <v>48013</v>
      </c>
      <c r="O280" s="299">
        <v>48738.5</v>
      </c>
      <c r="P280" s="601">
        <f t="shared" si="87"/>
        <v>102562</v>
      </c>
      <c r="Q280" s="602">
        <f t="shared" si="88"/>
        <v>3418.7333333333331</v>
      </c>
      <c r="R280" s="603">
        <f t="shared" si="89"/>
        <v>101121.5</v>
      </c>
      <c r="S280" s="604">
        <f t="shared" si="90"/>
        <v>3370.7166666666667</v>
      </c>
      <c r="T280" s="298">
        <v>412</v>
      </c>
      <c r="U280" s="754">
        <v>665</v>
      </c>
      <c r="V280" s="601">
        <f t="shared" si="91"/>
        <v>102562</v>
      </c>
      <c r="W280" s="605">
        <f t="shared" si="92"/>
        <v>101121.5</v>
      </c>
      <c r="X280" s="305"/>
      <c r="Y280" s="299"/>
      <c r="Z280" s="298"/>
      <c r="AA280" s="299"/>
      <c r="AB280" s="298"/>
      <c r="AC280" s="299"/>
      <c r="AD280" s="298"/>
      <c r="AE280" s="299"/>
      <c r="AF280" s="601">
        <f t="shared" si="93"/>
        <v>0</v>
      </c>
      <c r="AG280" s="602">
        <f t="shared" si="94"/>
        <v>0</v>
      </c>
      <c r="AH280" s="603">
        <f t="shared" si="95"/>
        <v>0</v>
      </c>
      <c r="AI280" s="603">
        <f t="shared" si="96"/>
        <v>0</v>
      </c>
      <c r="AJ280" s="298"/>
      <c r="AK280" s="299"/>
      <c r="AL280" s="601">
        <f t="shared" si="97"/>
        <v>0</v>
      </c>
      <c r="AM280" s="604">
        <f t="shared" si="98"/>
        <v>0</v>
      </c>
      <c r="AN280" s="306"/>
      <c r="AO280" s="307"/>
      <c r="AP280" s="298"/>
      <c r="AQ280" s="307"/>
      <c r="AR280" s="298"/>
      <c r="AS280" s="307"/>
      <c r="AT280" s="298"/>
      <c r="AU280" s="307"/>
      <c r="AV280" s="601">
        <f t="shared" si="99"/>
        <v>0</v>
      </c>
      <c r="AW280" s="609">
        <f t="shared" si="100"/>
        <v>0</v>
      </c>
      <c r="AX280" s="603">
        <f t="shared" si="101"/>
        <v>0</v>
      </c>
      <c r="AY280" s="610">
        <f t="shared" si="102"/>
        <v>0</v>
      </c>
      <c r="AZ280" s="611">
        <f t="shared" si="103"/>
        <v>3418.7333333333331</v>
      </c>
      <c r="BA280" s="603">
        <f t="shared" si="104"/>
        <v>3370.7166666666667</v>
      </c>
    </row>
    <row r="281" spans="1:53">
      <c r="A281" s="496" t="s">
        <v>162</v>
      </c>
      <c r="B281" s="500" t="s">
        <v>807</v>
      </c>
      <c r="C281" s="502" t="s">
        <v>813</v>
      </c>
      <c r="D281" s="498">
        <v>176008</v>
      </c>
      <c r="E281" s="499">
        <v>9</v>
      </c>
      <c r="F281" s="296" t="s">
        <v>52</v>
      </c>
      <c r="G281" s="297" t="s">
        <v>52</v>
      </c>
      <c r="H281" s="298"/>
      <c r="I281" s="299"/>
      <c r="J281" s="804">
        <v>42385</v>
      </c>
      <c r="K281" s="299">
        <v>38930</v>
      </c>
      <c r="L281" s="298">
        <v>10363</v>
      </c>
      <c r="M281" s="299">
        <v>10269</v>
      </c>
      <c r="N281" s="298">
        <v>42732</v>
      </c>
      <c r="O281" s="299">
        <v>39692</v>
      </c>
      <c r="P281" s="601">
        <f t="shared" si="87"/>
        <v>95480</v>
      </c>
      <c r="Q281" s="602">
        <f t="shared" si="88"/>
        <v>3182.6666666666665</v>
      </c>
      <c r="R281" s="603">
        <f t="shared" si="89"/>
        <v>88891</v>
      </c>
      <c r="S281" s="604">
        <f t="shared" si="90"/>
        <v>2963.0333333333333</v>
      </c>
      <c r="T281" s="298">
        <v>834</v>
      </c>
      <c r="U281" s="754">
        <v>617</v>
      </c>
      <c r="V281" s="601">
        <f t="shared" si="91"/>
        <v>95480</v>
      </c>
      <c r="W281" s="605">
        <f t="shared" si="92"/>
        <v>88891</v>
      </c>
      <c r="X281" s="305"/>
      <c r="Y281" s="299"/>
      <c r="Z281" s="298"/>
      <c r="AA281" s="299"/>
      <c r="AB281" s="298"/>
      <c r="AC281" s="299"/>
      <c r="AD281" s="298"/>
      <c r="AE281" s="299"/>
      <c r="AF281" s="601">
        <f t="shared" si="93"/>
        <v>0</v>
      </c>
      <c r="AG281" s="602">
        <f t="shared" si="94"/>
        <v>0</v>
      </c>
      <c r="AH281" s="603">
        <f t="shared" si="95"/>
        <v>0</v>
      </c>
      <c r="AI281" s="603">
        <f t="shared" si="96"/>
        <v>0</v>
      </c>
      <c r="AJ281" s="298"/>
      <c r="AK281" s="299"/>
      <c r="AL281" s="601">
        <f t="shared" si="97"/>
        <v>0</v>
      </c>
      <c r="AM281" s="604">
        <f t="shared" si="98"/>
        <v>0</v>
      </c>
      <c r="AN281" s="306"/>
      <c r="AO281" s="307"/>
      <c r="AP281" s="298"/>
      <c r="AQ281" s="307"/>
      <c r="AR281" s="298"/>
      <c r="AS281" s="307"/>
      <c r="AT281" s="298"/>
      <c r="AU281" s="307"/>
      <c r="AV281" s="601">
        <f t="shared" si="99"/>
        <v>0</v>
      </c>
      <c r="AW281" s="609">
        <f t="shared" si="100"/>
        <v>0</v>
      </c>
      <c r="AX281" s="603">
        <f t="shared" si="101"/>
        <v>0</v>
      </c>
      <c r="AY281" s="610">
        <f t="shared" si="102"/>
        <v>0</v>
      </c>
      <c r="AZ281" s="611">
        <f t="shared" si="103"/>
        <v>3182.6666666666665</v>
      </c>
      <c r="BA281" s="603">
        <f t="shared" si="104"/>
        <v>2963.0333333333333</v>
      </c>
    </row>
    <row r="282" spans="1:53">
      <c r="A282" s="496" t="s">
        <v>162</v>
      </c>
      <c r="B282" s="500" t="s">
        <v>808</v>
      </c>
      <c r="C282" s="502" t="s">
        <v>813</v>
      </c>
      <c r="D282" s="498">
        <v>176169</v>
      </c>
      <c r="E282" s="499">
        <v>9</v>
      </c>
      <c r="F282" s="296" t="s">
        <v>52</v>
      </c>
      <c r="G282" s="297" t="s">
        <v>52</v>
      </c>
      <c r="H282" s="298"/>
      <c r="I282" s="299"/>
      <c r="J282" s="804">
        <v>44266</v>
      </c>
      <c r="K282" s="299">
        <v>43934</v>
      </c>
      <c r="L282" s="298">
        <v>6371</v>
      </c>
      <c r="M282" s="299">
        <v>5621</v>
      </c>
      <c r="N282" s="298">
        <v>48134</v>
      </c>
      <c r="O282" s="299">
        <v>48678</v>
      </c>
      <c r="P282" s="601">
        <f t="shared" si="87"/>
        <v>98771</v>
      </c>
      <c r="Q282" s="602">
        <f t="shared" si="88"/>
        <v>3292.3666666666668</v>
      </c>
      <c r="R282" s="603">
        <f t="shared" si="89"/>
        <v>98233</v>
      </c>
      <c r="S282" s="604">
        <f t="shared" si="90"/>
        <v>3274.4333333333334</v>
      </c>
      <c r="T282" s="298">
        <v>563</v>
      </c>
      <c r="U282" s="754">
        <v>651</v>
      </c>
      <c r="V282" s="601">
        <f t="shared" si="91"/>
        <v>98771</v>
      </c>
      <c r="W282" s="605">
        <f t="shared" si="92"/>
        <v>98233</v>
      </c>
      <c r="X282" s="305"/>
      <c r="Y282" s="299"/>
      <c r="Z282" s="298"/>
      <c r="AA282" s="299"/>
      <c r="AB282" s="298"/>
      <c r="AC282" s="299"/>
      <c r="AD282" s="298"/>
      <c r="AE282" s="299"/>
      <c r="AF282" s="601">
        <f t="shared" si="93"/>
        <v>0</v>
      </c>
      <c r="AG282" s="602">
        <f t="shared" si="94"/>
        <v>0</v>
      </c>
      <c r="AH282" s="603">
        <f t="shared" si="95"/>
        <v>0</v>
      </c>
      <c r="AI282" s="603">
        <f t="shared" si="96"/>
        <v>0</v>
      </c>
      <c r="AJ282" s="298"/>
      <c r="AK282" s="299"/>
      <c r="AL282" s="601">
        <f t="shared" si="97"/>
        <v>0</v>
      </c>
      <c r="AM282" s="604">
        <f t="shared" si="98"/>
        <v>0</v>
      </c>
      <c r="AN282" s="306"/>
      <c r="AO282" s="307"/>
      <c r="AP282" s="298"/>
      <c r="AQ282" s="307"/>
      <c r="AR282" s="298"/>
      <c r="AS282" s="307"/>
      <c r="AT282" s="298"/>
      <c r="AU282" s="307"/>
      <c r="AV282" s="601">
        <f t="shared" si="99"/>
        <v>0</v>
      </c>
      <c r="AW282" s="609">
        <f t="shared" si="100"/>
        <v>0</v>
      </c>
      <c r="AX282" s="603">
        <f t="shared" si="101"/>
        <v>0</v>
      </c>
      <c r="AY282" s="610">
        <f t="shared" si="102"/>
        <v>0</v>
      </c>
      <c r="AZ282" s="611">
        <f t="shared" si="103"/>
        <v>3292.3666666666668</v>
      </c>
      <c r="BA282" s="603">
        <f t="shared" si="104"/>
        <v>3274.4333333333334</v>
      </c>
    </row>
    <row r="283" spans="1:53">
      <c r="A283" s="496" t="s">
        <v>162</v>
      </c>
      <c r="B283" s="500" t="s">
        <v>809</v>
      </c>
      <c r="C283" s="502"/>
      <c r="D283" s="498">
        <v>176239</v>
      </c>
      <c r="E283" s="499">
        <v>9</v>
      </c>
      <c r="F283" s="296" t="s">
        <v>52</v>
      </c>
      <c r="G283" s="297" t="s">
        <v>52</v>
      </c>
      <c r="H283" s="298"/>
      <c r="I283" s="299"/>
      <c r="J283" s="804">
        <v>53825</v>
      </c>
      <c r="K283" s="299">
        <v>56125</v>
      </c>
      <c r="L283" s="298">
        <v>13377</v>
      </c>
      <c r="M283" s="299">
        <v>13237</v>
      </c>
      <c r="N283" s="298">
        <v>61796</v>
      </c>
      <c r="O283" s="299">
        <v>60546</v>
      </c>
      <c r="P283" s="601">
        <f t="shared" si="87"/>
        <v>128998</v>
      </c>
      <c r="Q283" s="602">
        <f t="shared" si="88"/>
        <v>4299.9333333333334</v>
      </c>
      <c r="R283" s="603">
        <f t="shared" si="89"/>
        <v>129908</v>
      </c>
      <c r="S283" s="604">
        <f t="shared" si="90"/>
        <v>4330.2666666666664</v>
      </c>
      <c r="T283" s="298">
        <v>840</v>
      </c>
      <c r="U283" s="754">
        <v>1182</v>
      </c>
      <c r="V283" s="601">
        <f t="shared" si="91"/>
        <v>128998</v>
      </c>
      <c r="W283" s="605">
        <f t="shared" si="92"/>
        <v>129908</v>
      </c>
      <c r="X283" s="305"/>
      <c r="Y283" s="299"/>
      <c r="Z283" s="298"/>
      <c r="AA283" s="299"/>
      <c r="AB283" s="298"/>
      <c r="AC283" s="299"/>
      <c r="AD283" s="298"/>
      <c r="AE283" s="299"/>
      <c r="AF283" s="601">
        <f t="shared" si="93"/>
        <v>0</v>
      </c>
      <c r="AG283" s="602">
        <f t="shared" si="94"/>
        <v>0</v>
      </c>
      <c r="AH283" s="603">
        <f t="shared" si="95"/>
        <v>0</v>
      </c>
      <c r="AI283" s="603">
        <f t="shared" si="96"/>
        <v>0</v>
      </c>
      <c r="AJ283" s="298"/>
      <c r="AK283" s="299"/>
      <c r="AL283" s="601">
        <f t="shared" si="97"/>
        <v>0</v>
      </c>
      <c r="AM283" s="604">
        <f t="shared" si="98"/>
        <v>0</v>
      </c>
      <c r="AN283" s="306"/>
      <c r="AO283" s="307"/>
      <c r="AP283" s="298"/>
      <c r="AQ283" s="307"/>
      <c r="AR283" s="298"/>
      <c r="AS283" s="307"/>
      <c r="AT283" s="298"/>
      <c r="AU283" s="307"/>
      <c r="AV283" s="601">
        <f t="shared" si="99"/>
        <v>0</v>
      </c>
      <c r="AW283" s="609">
        <f t="shared" si="100"/>
        <v>0</v>
      </c>
      <c r="AX283" s="603">
        <f t="shared" si="101"/>
        <v>0</v>
      </c>
      <c r="AY283" s="610">
        <f t="shared" si="102"/>
        <v>0</v>
      </c>
      <c r="AZ283" s="611">
        <f t="shared" si="103"/>
        <v>4299.9333333333334</v>
      </c>
      <c r="BA283" s="603">
        <f t="shared" si="104"/>
        <v>4330.2666666666664</v>
      </c>
    </row>
    <row r="284" spans="1:53">
      <c r="A284" s="496" t="s">
        <v>162</v>
      </c>
      <c r="B284" s="500" t="s">
        <v>810</v>
      </c>
      <c r="C284" s="502"/>
      <c r="D284" s="498">
        <v>175519</v>
      </c>
      <c r="E284" s="499">
        <v>10</v>
      </c>
      <c r="F284" s="296" t="s">
        <v>52</v>
      </c>
      <c r="G284" s="297" t="s">
        <v>52</v>
      </c>
      <c r="H284" s="298"/>
      <c r="I284" s="299"/>
      <c r="J284" s="804">
        <v>25412</v>
      </c>
      <c r="K284" s="299">
        <v>32587</v>
      </c>
      <c r="L284" s="298">
        <v>4341</v>
      </c>
      <c r="M284" s="299">
        <v>4761</v>
      </c>
      <c r="N284" s="298">
        <v>33682</v>
      </c>
      <c r="O284" s="299">
        <v>35023</v>
      </c>
      <c r="P284" s="601">
        <f t="shared" si="87"/>
        <v>63435</v>
      </c>
      <c r="Q284" s="602">
        <f t="shared" si="88"/>
        <v>2114.5</v>
      </c>
      <c r="R284" s="603">
        <f t="shared" si="89"/>
        <v>72371</v>
      </c>
      <c r="S284" s="604">
        <f t="shared" si="90"/>
        <v>2412.3666666666668</v>
      </c>
      <c r="T284" s="298">
        <v>785</v>
      </c>
      <c r="U284" s="754">
        <v>747</v>
      </c>
      <c r="V284" s="601">
        <f t="shared" si="91"/>
        <v>63435</v>
      </c>
      <c r="W284" s="605">
        <f t="shared" si="92"/>
        <v>72371</v>
      </c>
      <c r="X284" s="305"/>
      <c r="Y284" s="299"/>
      <c r="Z284" s="298"/>
      <c r="AA284" s="299"/>
      <c r="AB284" s="298"/>
      <c r="AC284" s="299"/>
      <c r="AD284" s="298"/>
      <c r="AE284" s="299"/>
      <c r="AF284" s="601">
        <f t="shared" si="93"/>
        <v>0</v>
      </c>
      <c r="AG284" s="602">
        <f t="shared" si="94"/>
        <v>0</v>
      </c>
      <c r="AH284" s="603">
        <f t="shared" si="95"/>
        <v>0</v>
      </c>
      <c r="AI284" s="603">
        <f t="shared" si="96"/>
        <v>0</v>
      </c>
      <c r="AJ284" s="298"/>
      <c r="AK284" s="299"/>
      <c r="AL284" s="601">
        <f t="shared" si="97"/>
        <v>0</v>
      </c>
      <c r="AM284" s="604">
        <f t="shared" si="98"/>
        <v>0</v>
      </c>
      <c r="AN284" s="306"/>
      <c r="AO284" s="307"/>
      <c r="AP284" s="298"/>
      <c r="AQ284" s="307"/>
      <c r="AR284" s="298"/>
      <c r="AS284" s="307"/>
      <c r="AT284" s="298"/>
      <c r="AU284" s="307"/>
      <c r="AV284" s="601">
        <f t="shared" si="99"/>
        <v>0</v>
      </c>
      <c r="AW284" s="609">
        <f t="shared" si="100"/>
        <v>0</v>
      </c>
      <c r="AX284" s="603">
        <f t="shared" si="101"/>
        <v>0</v>
      </c>
      <c r="AY284" s="610">
        <f t="shared" si="102"/>
        <v>0</v>
      </c>
      <c r="AZ284" s="611">
        <f t="shared" si="103"/>
        <v>2114.5</v>
      </c>
      <c r="BA284" s="603">
        <f t="shared" si="104"/>
        <v>2412.3666666666668</v>
      </c>
    </row>
    <row r="285" spans="1:53">
      <c r="A285" s="496" t="s">
        <v>162</v>
      </c>
      <c r="B285" s="500" t="s">
        <v>811</v>
      </c>
      <c r="C285" s="502"/>
      <c r="D285" s="498">
        <v>176354</v>
      </c>
      <c r="E285" s="499">
        <v>10</v>
      </c>
      <c r="F285" s="296" t="s">
        <v>52</v>
      </c>
      <c r="G285" s="297" t="s">
        <v>52</v>
      </c>
      <c r="H285" s="298"/>
      <c r="I285" s="299"/>
      <c r="J285" s="804">
        <v>25379</v>
      </c>
      <c r="K285" s="299">
        <v>24771</v>
      </c>
      <c r="L285" s="298">
        <v>3462</v>
      </c>
      <c r="M285" s="299">
        <v>4306</v>
      </c>
      <c r="N285" s="298">
        <v>27699</v>
      </c>
      <c r="O285" s="299">
        <v>28034</v>
      </c>
      <c r="P285" s="601">
        <f t="shared" si="87"/>
        <v>56540</v>
      </c>
      <c r="Q285" s="602">
        <f t="shared" si="88"/>
        <v>1884.6666666666667</v>
      </c>
      <c r="R285" s="603">
        <f t="shared" si="89"/>
        <v>57111</v>
      </c>
      <c r="S285" s="604">
        <f t="shared" si="90"/>
        <v>1903.7</v>
      </c>
      <c r="T285" s="298">
        <v>861</v>
      </c>
      <c r="U285" s="754">
        <v>660</v>
      </c>
      <c r="V285" s="601">
        <f t="shared" si="91"/>
        <v>56540</v>
      </c>
      <c r="W285" s="605">
        <f t="shared" si="92"/>
        <v>57111</v>
      </c>
      <c r="X285" s="305"/>
      <c r="Y285" s="299"/>
      <c r="Z285" s="298"/>
      <c r="AA285" s="299"/>
      <c r="AB285" s="298"/>
      <c r="AC285" s="299"/>
      <c r="AD285" s="298"/>
      <c r="AE285" s="299"/>
      <c r="AF285" s="601">
        <f t="shared" si="93"/>
        <v>0</v>
      </c>
      <c r="AG285" s="602">
        <f t="shared" si="94"/>
        <v>0</v>
      </c>
      <c r="AH285" s="603">
        <f t="shared" si="95"/>
        <v>0</v>
      </c>
      <c r="AI285" s="603">
        <f t="shared" si="96"/>
        <v>0</v>
      </c>
      <c r="AJ285" s="298"/>
      <c r="AK285" s="299"/>
      <c r="AL285" s="601">
        <f t="shared" si="97"/>
        <v>0</v>
      </c>
      <c r="AM285" s="604">
        <f t="shared" si="98"/>
        <v>0</v>
      </c>
      <c r="AN285" s="306"/>
      <c r="AO285" s="307"/>
      <c r="AP285" s="298"/>
      <c r="AQ285" s="307"/>
      <c r="AR285" s="298"/>
      <c r="AS285" s="307"/>
      <c r="AT285" s="298"/>
      <c r="AU285" s="307"/>
      <c r="AV285" s="601">
        <f t="shared" si="99"/>
        <v>0</v>
      </c>
      <c r="AW285" s="609">
        <f t="shared" si="100"/>
        <v>0</v>
      </c>
      <c r="AX285" s="603">
        <f t="shared" si="101"/>
        <v>0</v>
      </c>
      <c r="AY285" s="610">
        <f t="shared" si="102"/>
        <v>0</v>
      </c>
      <c r="AZ285" s="611">
        <f t="shared" si="103"/>
        <v>1884.6666666666667</v>
      </c>
      <c r="BA285" s="603">
        <f t="shared" si="104"/>
        <v>1903.7</v>
      </c>
    </row>
    <row r="286" spans="1:53">
      <c r="A286" s="430" t="s">
        <v>159</v>
      </c>
      <c r="B286" s="431" t="s">
        <v>472</v>
      </c>
      <c r="C286" s="432"/>
      <c r="D286" s="433">
        <v>199193</v>
      </c>
      <c r="E286" s="433">
        <v>1</v>
      </c>
      <c r="F286" s="296" t="s">
        <v>52</v>
      </c>
      <c r="G286" s="297" t="s">
        <v>52</v>
      </c>
      <c r="H286" s="298"/>
      <c r="I286" s="299"/>
      <c r="J286" s="599">
        <v>321586</v>
      </c>
      <c r="K286" s="299">
        <v>323770</v>
      </c>
      <c r="L286" s="298">
        <v>57585</v>
      </c>
      <c r="M286" s="299">
        <v>59666</v>
      </c>
      <c r="N286" s="298">
        <v>346819</v>
      </c>
      <c r="O286" s="299">
        <v>347252</v>
      </c>
      <c r="P286" s="601">
        <f t="shared" si="87"/>
        <v>725990</v>
      </c>
      <c r="Q286" s="602">
        <f t="shared" si="88"/>
        <v>24199.666666666668</v>
      </c>
      <c r="R286" s="603">
        <f t="shared" si="89"/>
        <v>730688</v>
      </c>
      <c r="S286" s="604">
        <f t="shared" si="90"/>
        <v>24356.266666666666</v>
      </c>
      <c r="T286" s="298">
        <v>0</v>
      </c>
      <c r="U286" s="299">
        <v>0</v>
      </c>
      <c r="V286" s="601">
        <f t="shared" si="91"/>
        <v>725990</v>
      </c>
      <c r="W286" s="605">
        <f t="shared" si="92"/>
        <v>730688</v>
      </c>
      <c r="X286" s="305"/>
      <c r="Y286" s="299"/>
      <c r="Z286" s="298"/>
      <c r="AA286" s="299"/>
      <c r="AB286" s="298"/>
      <c r="AC286" s="299"/>
      <c r="AD286" s="298"/>
      <c r="AE286" s="299"/>
      <c r="AF286" s="601">
        <f t="shared" si="93"/>
        <v>0</v>
      </c>
      <c r="AG286" s="602">
        <f t="shared" si="94"/>
        <v>0</v>
      </c>
      <c r="AH286" s="603">
        <f t="shared" si="95"/>
        <v>0</v>
      </c>
      <c r="AI286" s="603">
        <f t="shared" si="96"/>
        <v>0</v>
      </c>
      <c r="AJ286" s="298"/>
      <c r="AK286" s="299"/>
      <c r="AL286" s="601">
        <f t="shared" si="97"/>
        <v>0</v>
      </c>
      <c r="AM286" s="604">
        <f t="shared" si="98"/>
        <v>0</v>
      </c>
      <c r="AN286" s="306"/>
      <c r="AO286" s="307"/>
      <c r="AP286" s="298">
        <v>58431</v>
      </c>
      <c r="AQ286" s="307">
        <v>62881</v>
      </c>
      <c r="AR286" s="298">
        <v>9125</v>
      </c>
      <c r="AS286" s="307">
        <v>9737</v>
      </c>
      <c r="AT286" s="298">
        <v>66613</v>
      </c>
      <c r="AU286" s="307">
        <v>69109</v>
      </c>
      <c r="AV286" s="601">
        <f t="shared" si="99"/>
        <v>134169</v>
      </c>
      <c r="AW286" s="609">
        <f t="shared" si="100"/>
        <v>5590.375</v>
      </c>
      <c r="AX286" s="603">
        <f t="shared" si="101"/>
        <v>141727</v>
      </c>
      <c r="AY286" s="610">
        <f t="shared" si="102"/>
        <v>5905.291666666667</v>
      </c>
      <c r="AZ286" s="611">
        <f t="shared" si="103"/>
        <v>29790.041666666668</v>
      </c>
      <c r="BA286" s="603">
        <f t="shared" si="104"/>
        <v>30261.558333333334</v>
      </c>
    </row>
    <row r="287" spans="1:53">
      <c r="A287" s="430" t="s">
        <v>159</v>
      </c>
      <c r="B287" s="431" t="s">
        <v>473</v>
      </c>
      <c r="C287" s="432"/>
      <c r="D287" s="433">
        <v>199120</v>
      </c>
      <c r="E287" s="433">
        <v>1</v>
      </c>
      <c r="F287" s="296" t="s">
        <v>52</v>
      </c>
      <c r="G287" s="297" t="s">
        <v>52</v>
      </c>
      <c r="H287" s="298"/>
      <c r="I287" s="299"/>
      <c r="J287" s="298">
        <v>231100</v>
      </c>
      <c r="K287" s="299">
        <v>231358</v>
      </c>
      <c r="L287" s="298">
        <v>35347</v>
      </c>
      <c r="M287" s="299">
        <v>35510</v>
      </c>
      <c r="N287" s="298">
        <v>242296</v>
      </c>
      <c r="O287" s="299">
        <v>245180</v>
      </c>
      <c r="P287" s="601">
        <f t="shared" si="87"/>
        <v>508743</v>
      </c>
      <c r="Q287" s="602">
        <f t="shared" si="88"/>
        <v>16958.099999999999</v>
      </c>
      <c r="R287" s="603">
        <f t="shared" si="89"/>
        <v>512048</v>
      </c>
      <c r="S287" s="604">
        <f t="shared" si="90"/>
        <v>17068.266666666666</v>
      </c>
      <c r="T287" s="298">
        <v>0</v>
      </c>
      <c r="U287" s="299">
        <v>8</v>
      </c>
      <c r="V287" s="601">
        <f t="shared" si="91"/>
        <v>508743</v>
      </c>
      <c r="W287" s="605">
        <f t="shared" si="92"/>
        <v>512048</v>
      </c>
      <c r="X287" s="305"/>
      <c r="Y287" s="299"/>
      <c r="Z287" s="298"/>
      <c r="AA287" s="299"/>
      <c r="AB287" s="298"/>
      <c r="AC287" s="299"/>
      <c r="AD287" s="298"/>
      <c r="AE287" s="299"/>
      <c r="AF287" s="601">
        <f t="shared" si="93"/>
        <v>0</v>
      </c>
      <c r="AG287" s="602">
        <f t="shared" si="94"/>
        <v>0</v>
      </c>
      <c r="AH287" s="603">
        <f t="shared" si="95"/>
        <v>0</v>
      </c>
      <c r="AI287" s="603">
        <f t="shared" si="96"/>
        <v>0</v>
      </c>
      <c r="AJ287" s="298"/>
      <c r="AK287" s="299"/>
      <c r="AL287" s="601">
        <f t="shared" si="97"/>
        <v>0</v>
      </c>
      <c r="AM287" s="604">
        <f t="shared" si="98"/>
        <v>0</v>
      </c>
      <c r="AN287" s="306"/>
      <c r="AO287" s="307"/>
      <c r="AP287" s="298">
        <v>87395</v>
      </c>
      <c r="AQ287" s="307">
        <v>82860</v>
      </c>
      <c r="AR287" s="298">
        <v>14476</v>
      </c>
      <c r="AS287" s="307">
        <v>13955</v>
      </c>
      <c r="AT287" s="298">
        <v>92215</v>
      </c>
      <c r="AU287" s="307">
        <v>90454</v>
      </c>
      <c r="AV287" s="601">
        <f t="shared" si="99"/>
        <v>194086</v>
      </c>
      <c r="AW287" s="609">
        <f t="shared" si="100"/>
        <v>8086.916666666667</v>
      </c>
      <c r="AX287" s="603">
        <f t="shared" si="101"/>
        <v>187269</v>
      </c>
      <c r="AY287" s="610">
        <f t="shared" si="102"/>
        <v>7802.875</v>
      </c>
      <c r="AZ287" s="611">
        <f t="shared" si="103"/>
        <v>25045.016666666666</v>
      </c>
      <c r="BA287" s="603">
        <f t="shared" si="104"/>
        <v>24871.141666666666</v>
      </c>
    </row>
    <row r="288" spans="1:53">
      <c r="A288" s="430" t="s">
        <v>159</v>
      </c>
      <c r="B288" s="434" t="s">
        <v>475</v>
      </c>
      <c r="C288" s="485" t="s">
        <v>720</v>
      </c>
      <c r="D288" s="433">
        <v>199148</v>
      </c>
      <c r="E288" s="486">
        <v>1</v>
      </c>
      <c r="F288" s="296" t="s">
        <v>52</v>
      </c>
      <c r="G288" s="297" t="s">
        <v>52</v>
      </c>
      <c r="H288" s="298"/>
      <c r="I288" s="299"/>
      <c r="J288" s="298">
        <v>189779</v>
      </c>
      <c r="K288" s="299">
        <v>191003</v>
      </c>
      <c r="L288" s="298">
        <v>25837</v>
      </c>
      <c r="M288" s="299">
        <v>34548</v>
      </c>
      <c r="N288" s="298">
        <v>198683</v>
      </c>
      <c r="O288" s="299">
        <v>195330</v>
      </c>
      <c r="P288" s="601">
        <f t="shared" si="87"/>
        <v>414299</v>
      </c>
      <c r="Q288" s="602">
        <f t="shared" si="88"/>
        <v>13809.966666666667</v>
      </c>
      <c r="R288" s="603">
        <f t="shared" si="89"/>
        <v>420881</v>
      </c>
      <c r="S288" s="604">
        <f t="shared" si="90"/>
        <v>14029.366666666667</v>
      </c>
      <c r="T288" s="298">
        <v>7534</v>
      </c>
      <c r="U288" s="299">
        <v>286</v>
      </c>
      <c r="V288" s="601">
        <f t="shared" si="91"/>
        <v>414299</v>
      </c>
      <c r="W288" s="605">
        <f t="shared" si="92"/>
        <v>420881</v>
      </c>
      <c r="X288" s="305"/>
      <c r="Y288" s="299"/>
      <c r="Z288" s="298"/>
      <c r="AA288" s="299"/>
      <c r="AB288" s="298"/>
      <c r="AC288" s="299"/>
      <c r="AD288" s="298"/>
      <c r="AE288" s="299"/>
      <c r="AF288" s="601">
        <f t="shared" si="93"/>
        <v>0</v>
      </c>
      <c r="AG288" s="602">
        <f t="shared" si="94"/>
        <v>0</v>
      </c>
      <c r="AH288" s="603">
        <f t="shared" si="95"/>
        <v>0</v>
      </c>
      <c r="AI288" s="603">
        <f t="shared" si="96"/>
        <v>0</v>
      </c>
      <c r="AJ288" s="298"/>
      <c r="AK288" s="299"/>
      <c r="AL288" s="601">
        <f t="shared" si="97"/>
        <v>0</v>
      </c>
      <c r="AM288" s="604">
        <f t="shared" si="98"/>
        <v>0</v>
      </c>
      <c r="AN288" s="306"/>
      <c r="AO288" s="307"/>
      <c r="AP288" s="298">
        <v>31648</v>
      </c>
      <c r="AQ288" s="307">
        <v>31603</v>
      </c>
      <c r="AR288" s="298">
        <v>6570</v>
      </c>
      <c r="AS288" s="307">
        <v>7592</v>
      </c>
      <c r="AT288" s="298">
        <v>32320</v>
      </c>
      <c r="AU288" s="307">
        <v>32348</v>
      </c>
      <c r="AV288" s="601">
        <f t="shared" si="99"/>
        <v>70538</v>
      </c>
      <c r="AW288" s="609">
        <f t="shared" si="100"/>
        <v>2939.0833333333335</v>
      </c>
      <c r="AX288" s="603">
        <f t="shared" si="101"/>
        <v>71543</v>
      </c>
      <c r="AY288" s="610">
        <f t="shared" si="102"/>
        <v>2980.9583333333335</v>
      </c>
      <c r="AZ288" s="611">
        <f t="shared" si="103"/>
        <v>16749.05</v>
      </c>
      <c r="BA288" s="603">
        <f t="shared" si="104"/>
        <v>17010.325000000001</v>
      </c>
    </row>
    <row r="289" spans="1:53">
      <c r="A289" s="430" t="s">
        <v>159</v>
      </c>
      <c r="B289" s="431" t="s">
        <v>474</v>
      </c>
      <c r="C289" s="432"/>
      <c r="D289" s="433">
        <v>199139</v>
      </c>
      <c r="E289" s="433">
        <v>2</v>
      </c>
      <c r="F289" s="296" t="s">
        <v>52</v>
      </c>
      <c r="G289" s="297" t="s">
        <v>52</v>
      </c>
      <c r="H289" s="298"/>
      <c r="I289" s="299"/>
      <c r="J289" s="298">
        <v>243926</v>
      </c>
      <c r="K289" s="299">
        <v>250878</v>
      </c>
      <c r="L289" s="298">
        <v>43743</v>
      </c>
      <c r="M289" s="299">
        <v>44400</v>
      </c>
      <c r="N289" s="298">
        <v>263243</v>
      </c>
      <c r="O289" s="299">
        <v>271170</v>
      </c>
      <c r="P289" s="601">
        <f t="shared" si="87"/>
        <v>550912</v>
      </c>
      <c r="Q289" s="602">
        <f t="shared" si="88"/>
        <v>18363.733333333334</v>
      </c>
      <c r="R289" s="603">
        <f t="shared" si="89"/>
        <v>566448</v>
      </c>
      <c r="S289" s="604">
        <f t="shared" si="90"/>
        <v>18881.599999999999</v>
      </c>
      <c r="T289" s="298">
        <v>0</v>
      </c>
      <c r="U289" s="299">
        <v>0</v>
      </c>
      <c r="V289" s="601">
        <f t="shared" si="91"/>
        <v>550912</v>
      </c>
      <c r="W289" s="605">
        <f t="shared" si="92"/>
        <v>566448</v>
      </c>
      <c r="X289" s="305"/>
      <c r="Y289" s="299"/>
      <c r="Z289" s="298"/>
      <c r="AA289" s="299"/>
      <c r="AB289" s="298"/>
      <c r="AC289" s="299"/>
      <c r="AD289" s="298"/>
      <c r="AE289" s="299"/>
      <c r="AF289" s="601">
        <f t="shared" si="93"/>
        <v>0</v>
      </c>
      <c r="AG289" s="602">
        <f t="shared" si="94"/>
        <v>0</v>
      </c>
      <c r="AH289" s="603">
        <f t="shared" si="95"/>
        <v>0</v>
      </c>
      <c r="AI289" s="603">
        <f t="shared" si="96"/>
        <v>0</v>
      </c>
      <c r="AJ289" s="298"/>
      <c r="AK289" s="299"/>
      <c r="AL289" s="601">
        <f t="shared" si="97"/>
        <v>0</v>
      </c>
      <c r="AM289" s="604">
        <f t="shared" si="98"/>
        <v>0</v>
      </c>
      <c r="AN289" s="306"/>
      <c r="AO289" s="307"/>
      <c r="AP289" s="298">
        <v>31410</v>
      </c>
      <c r="AQ289" s="307">
        <v>30091</v>
      </c>
      <c r="AR289" s="298">
        <v>10655</v>
      </c>
      <c r="AS289" s="307">
        <v>9900</v>
      </c>
      <c r="AT289" s="298">
        <v>32871</v>
      </c>
      <c r="AU289" s="307">
        <v>31825</v>
      </c>
      <c r="AV289" s="601">
        <f t="shared" si="99"/>
        <v>74936</v>
      </c>
      <c r="AW289" s="609">
        <f t="shared" si="100"/>
        <v>3122.3333333333335</v>
      </c>
      <c r="AX289" s="603">
        <f t="shared" si="101"/>
        <v>71816</v>
      </c>
      <c r="AY289" s="610">
        <f t="shared" si="102"/>
        <v>2992.3333333333335</v>
      </c>
      <c r="AZ289" s="611">
        <f t="shared" si="103"/>
        <v>21486.066666666666</v>
      </c>
      <c r="BA289" s="603">
        <f t="shared" si="104"/>
        <v>21873.933333333331</v>
      </c>
    </row>
    <row r="290" spans="1:53">
      <c r="A290" s="430" t="s">
        <v>159</v>
      </c>
      <c r="B290" s="431" t="s">
        <v>476</v>
      </c>
      <c r="C290" s="432"/>
      <c r="D290" s="433">
        <v>197869</v>
      </c>
      <c r="E290" s="433">
        <v>3</v>
      </c>
      <c r="F290" s="296" t="s">
        <v>52</v>
      </c>
      <c r="G290" s="297" t="s">
        <v>52</v>
      </c>
      <c r="H290" s="298"/>
      <c r="I290" s="299"/>
      <c r="J290" s="298">
        <v>201911</v>
      </c>
      <c r="K290" s="299">
        <v>208091</v>
      </c>
      <c r="L290" s="298">
        <v>32052</v>
      </c>
      <c r="M290" s="299">
        <v>32326</v>
      </c>
      <c r="N290" s="298">
        <v>219067</v>
      </c>
      <c r="O290" s="299">
        <v>225414</v>
      </c>
      <c r="P290" s="601">
        <f t="shared" si="87"/>
        <v>453030</v>
      </c>
      <c r="Q290" s="602">
        <f t="shared" si="88"/>
        <v>15101</v>
      </c>
      <c r="R290" s="603">
        <f t="shared" si="89"/>
        <v>465831</v>
      </c>
      <c r="S290" s="604">
        <f t="shared" si="90"/>
        <v>15527.7</v>
      </c>
      <c r="T290" s="298">
        <v>0</v>
      </c>
      <c r="U290" s="299">
        <v>0</v>
      </c>
      <c r="V290" s="601">
        <f t="shared" si="91"/>
        <v>453030</v>
      </c>
      <c r="W290" s="605">
        <f t="shared" si="92"/>
        <v>465831</v>
      </c>
      <c r="X290" s="305"/>
      <c r="Y290" s="299"/>
      <c r="Z290" s="298"/>
      <c r="AA290" s="299"/>
      <c r="AB290" s="298"/>
      <c r="AC290" s="299"/>
      <c r="AD290" s="298"/>
      <c r="AE290" s="299"/>
      <c r="AF290" s="601">
        <f t="shared" si="93"/>
        <v>0</v>
      </c>
      <c r="AG290" s="602">
        <f t="shared" si="94"/>
        <v>0</v>
      </c>
      <c r="AH290" s="603">
        <f t="shared" si="95"/>
        <v>0</v>
      </c>
      <c r="AI290" s="603">
        <f t="shared" si="96"/>
        <v>0</v>
      </c>
      <c r="AJ290" s="298"/>
      <c r="AK290" s="299"/>
      <c r="AL290" s="601">
        <f t="shared" si="97"/>
        <v>0</v>
      </c>
      <c r="AM290" s="604">
        <f t="shared" si="98"/>
        <v>0</v>
      </c>
      <c r="AN290" s="306"/>
      <c r="AO290" s="307"/>
      <c r="AP290" s="298">
        <v>14588</v>
      </c>
      <c r="AQ290" s="307">
        <v>14734</v>
      </c>
      <c r="AR290" s="298">
        <v>8438</v>
      </c>
      <c r="AS290" s="307">
        <v>7966</v>
      </c>
      <c r="AT290" s="298">
        <v>15058</v>
      </c>
      <c r="AU290" s="307">
        <v>14325</v>
      </c>
      <c r="AV290" s="601">
        <f t="shared" si="99"/>
        <v>38084</v>
      </c>
      <c r="AW290" s="609">
        <f t="shared" si="100"/>
        <v>1586.8333333333333</v>
      </c>
      <c r="AX290" s="603">
        <f t="shared" si="101"/>
        <v>37025</v>
      </c>
      <c r="AY290" s="610">
        <f t="shared" si="102"/>
        <v>1542.7083333333333</v>
      </c>
      <c r="AZ290" s="611">
        <f t="shared" si="103"/>
        <v>16687.833333333332</v>
      </c>
      <c r="BA290" s="603">
        <f t="shared" si="104"/>
        <v>17070.408333333333</v>
      </c>
    </row>
    <row r="291" spans="1:53">
      <c r="A291" s="430" t="s">
        <v>159</v>
      </c>
      <c r="B291" s="434" t="s">
        <v>477</v>
      </c>
      <c r="C291" s="432" t="s">
        <v>445</v>
      </c>
      <c r="D291" s="433">
        <v>198464</v>
      </c>
      <c r="E291" s="433">
        <v>3</v>
      </c>
      <c r="F291" s="296" t="s">
        <v>52</v>
      </c>
      <c r="G291" s="297" t="s">
        <v>52</v>
      </c>
      <c r="H291" s="298"/>
      <c r="I291" s="299"/>
      <c r="J291" s="298">
        <v>255968</v>
      </c>
      <c r="K291" s="299">
        <v>261544</v>
      </c>
      <c r="L291" s="298">
        <v>57711</v>
      </c>
      <c r="M291" s="299">
        <v>54008</v>
      </c>
      <c r="N291" s="298">
        <v>281478</v>
      </c>
      <c r="O291" s="299">
        <v>281788</v>
      </c>
      <c r="P291" s="601">
        <f t="shared" si="87"/>
        <v>595157</v>
      </c>
      <c r="Q291" s="602">
        <f t="shared" si="88"/>
        <v>19838.566666666666</v>
      </c>
      <c r="R291" s="603">
        <f t="shared" si="89"/>
        <v>597340</v>
      </c>
      <c r="S291" s="604">
        <f t="shared" si="90"/>
        <v>19911.333333333332</v>
      </c>
      <c r="T291" s="298">
        <v>390</v>
      </c>
      <c r="U291" s="299">
        <v>402</v>
      </c>
      <c r="V291" s="601">
        <f t="shared" si="91"/>
        <v>595157</v>
      </c>
      <c r="W291" s="605">
        <f t="shared" si="92"/>
        <v>597340</v>
      </c>
      <c r="X291" s="305"/>
      <c r="Y291" s="299"/>
      <c r="Z291" s="298"/>
      <c r="AA291" s="299"/>
      <c r="AB291" s="298"/>
      <c r="AC291" s="299"/>
      <c r="AD291" s="298"/>
      <c r="AE291" s="299"/>
      <c r="AF291" s="601">
        <f t="shared" si="93"/>
        <v>0</v>
      </c>
      <c r="AG291" s="602">
        <f t="shared" si="94"/>
        <v>0</v>
      </c>
      <c r="AH291" s="603">
        <f t="shared" si="95"/>
        <v>0</v>
      </c>
      <c r="AI291" s="603">
        <f t="shared" si="96"/>
        <v>0</v>
      </c>
      <c r="AJ291" s="298"/>
      <c r="AK291" s="299"/>
      <c r="AL291" s="601">
        <f t="shared" si="97"/>
        <v>0</v>
      </c>
      <c r="AM291" s="604">
        <f t="shared" si="98"/>
        <v>0</v>
      </c>
      <c r="AN291" s="306"/>
      <c r="AO291" s="307"/>
      <c r="AP291" s="298">
        <v>42824</v>
      </c>
      <c r="AQ291" s="307">
        <v>40850</v>
      </c>
      <c r="AR291" s="298">
        <v>20932</v>
      </c>
      <c r="AS291" s="307">
        <v>19249</v>
      </c>
      <c r="AT291" s="298">
        <v>44864</v>
      </c>
      <c r="AU291" s="307">
        <v>43627</v>
      </c>
      <c r="AV291" s="601">
        <f t="shared" si="99"/>
        <v>108620</v>
      </c>
      <c r="AW291" s="609">
        <f t="shared" si="100"/>
        <v>4525.833333333333</v>
      </c>
      <c r="AX291" s="603">
        <f t="shared" si="101"/>
        <v>103726</v>
      </c>
      <c r="AY291" s="610">
        <f t="shared" si="102"/>
        <v>4321.916666666667</v>
      </c>
      <c r="AZ291" s="611">
        <f t="shared" si="103"/>
        <v>24364.399999999998</v>
      </c>
      <c r="BA291" s="603">
        <f t="shared" si="104"/>
        <v>24233.25</v>
      </c>
    </row>
    <row r="292" spans="1:53">
      <c r="A292" s="430" t="s">
        <v>159</v>
      </c>
      <c r="B292" s="431" t="s">
        <v>478</v>
      </c>
      <c r="C292" s="432"/>
      <c r="D292" s="433">
        <v>199102</v>
      </c>
      <c r="E292" s="433">
        <v>3</v>
      </c>
      <c r="F292" s="296" t="s">
        <v>52</v>
      </c>
      <c r="G292" s="297" t="s">
        <v>52</v>
      </c>
      <c r="H292" s="298"/>
      <c r="I292" s="299"/>
      <c r="J292" s="298">
        <v>116329</v>
      </c>
      <c r="K292" s="299">
        <v>116034</v>
      </c>
      <c r="L292" s="298">
        <v>27316</v>
      </c>
      <c r="M292" s="299">
        <v>27844</v>
      </c>
      <c r="N292" s="298">
        <v>126726</v>
      </c>
      <c r="O292" s="299">
        <v>125696</v>
      </c>
      <c r="P292" s="601">
        <f t="shared" si="87"/>
        <v>270371</v>
      </c>
      <c r="Q292" s="602">
        <f t="shared" si="88"/>
        <v>9012.3666666666668</v>
      </c>
      <c r="R292" s="603">
        <f t="shared" si="89"/>
        <v>269574</v>
      </c>
      <c r="S292" s="604">
        <f t="shared" si="90"/>
        <v>8985.7999999999993</v>
      </c>
      <c r="T292" s="298">
        <v>1605</v>
      </c>
      <c r="U292" s="299">
        <v>446</v>
      </c>
      <c r="V292" s="601">
        <f t="shared" si="91"/>
        <v>270371</v>
      </c>
      <c r="W292" s="605">
        <f t="shared" si="92"/>
        <v>269574</v>
      </c>
      <c r="X292" s="305"/>
      <c r="Y292" s="299"/>
      <c r="Z292" s="298"/>
      <c r="AA292" s="299"/>
      <c r="AB292" s="298"/>
      <c r="AC292" s="299"/>
      <c r="AD292" s="298"/>
      <c r="AE292" s="299"/>
      <c r="AF292" s="601">
        <f t="shared" si="93"/>
        <v>0</v>
      </c>
      <c r="AG292" s="602">
        <f t="shared" si="94"/>
        <v>0</v>
      </c>
      <c r="AH292" s="603">
        <f t="shared" si="95"/>
        <v>0</v>
      </c>
      <c r="AI292" s="603">
        <f t="shared" si="96"/>
        <v>0</v>
      </c>
      <c r="AJ292" s="298"/>
      <c r="AK292" s="299"/>
      <c r="AL292" s="601">
        <f t="shared" si="97"/>
        <v>0</v>
      </c>
      <c r="AM292" s="604">
        <f t="shared" si="98"/>
        <v>0</v>
      </c>
      <c r="AN292" s="306"/>
      <c r="AO292" s="307"/>
      <c r="AP292" s="298">
        <v>15396</v>
      </c>
      <c r="AQ292" s="307">
        <v>14358</v>
      </c>
      <c r="AR292" s="298">
        <v>3781</v>
      </c>
      <c r="AS292" s="307">
        <v>3601</v>
      </c>
      <c r="AT292" s="298">
        <v>14315</v>
      </c>
      <c r="AU292" s="307">
        <v>14678</v>
      </c>
      <c r="AV292" s="601">
        <f t="shared" si="99"/>
        <v>33492</v>
      </c>
      <c r="AW292" s="609">
        <f t="shared" si="100"/>
        <v>1395.5</v>
      </c>
      <c r="AX292" s="603">
        <f t="shared" si="101"/>
        <v>32637</v>
      </c>
      <c r="AY292" s="610">
        <f t="shared" si="102"/>
        <v>1359.875</v>
      </c>
      <c r="AZ292" s="611">
        <f t="shared" si="103"/>
        <v>10407.866666666667</v>
      </c>
      <c r="BA292" s="603">
        <f t="shared" si="104"/>
        <v>10345.674999999999</v>
      </c>
    </row>
    <row r="293" spans="1:53">
      <c r="A293" s="430" t="s">
        <v>159</v>
      </c>
      <c r="B293" s="431" t="s">
        <v>479</v>
      </c>
      <c r="C293" s="432"/>
      <c r="D293" s="433">
        <v>199157</v>
      </c>
      <c r="E293" s="433">
        <v>3</v>
      </c>
      <c r="F293" s="296" t="s">
        <v>52</v>
      </c>
      <c r="G293" s="297" t="s">
        <v>52</v>
      </c>
      <c r="H293" s="298"/>
      <c r="I293" s="299"/>
      <c r="J293" s="298">
        <v>81883</v>
      </c>
      <c r="K293" s="299">
        <v>79755</v>
      </c>
      <c r="L293" s="298">
        <v>24228</v>
      </c>
      <c r="M293" s="299">
        <v>27549</v>
      </c>
      <c r="N293" s="298">
        <v>86203</v>
      </c>
      <c r="O293" s="299">
        <v>83819</v>
      </c>
      <c r="P293" s="601">
        <f t="shared" si="87"/>
        <v>192314</v>
      </c>
      <c r="Q293" s="602">
        <f t="shared" si="88"/>
        <v>6410.4666666666662</v>
      </c>
      <c r="R293" s="603">
        <f t="shared" si="89"/>
        <v>191123</v>
      </c>
      <c r="S293" s="604">
        <f t="shared" si="90"/>
        <v>6370.7666666666664</v>
      </c>
      <c r="T293" s="298">
        <v>5669</v>
      </c>
      <c r="U293" s="299">
        <v>4064</v>
      </c>
      <c r="V293" s="601">
        <f t="shared" si="91"/>
        <v>192314</v>
      </c>
      <c r="W293" s="605">
        <f t="shared" si="92"/>
        <v>191123</v>
      </c>
      <c r="X293" s="305"/>
      <c r="Y293" s="299"/>
      <c r="Z293" s="298"/>
      <c r="AA293" s="299"/>
      <c r="AB293" s="298"/>
      <c r="AC293" s="299"/>
      <c r="AD293" s="298"/>
      <c r="AE293" s="299"/>
      <c r="AF293" s="601">
        <f t="shared" si="93"/>
        <v>0</v>
      </c>
      <c r="AG293" s="602">
        <f t="shared" si="94"/>
        <v>0</v>
      </c>
      <c r="AH293" s="603">
        <f t="shared" si="95"/>
        <v>0</v>
      </c>
      <c r="AI293" s="603">
        <f t="shared" si="96"/>
        <v>0</v>
      </c>
      <c r="AJ293" s="298"/>
      <c r="AK293" s="299"/>
      <c r="AL293" s="601">
        <f t="shared" si="97"/>
        <v>0</v>
      </c>
      <c r="AM293" s="604">
        <f t="shared" si="98"/>
        <v>0</v>
      </c>
      <c r="AN293" s="306"/>
      <c r="AO293" s="307"/>
      <c r="AP293" s="298">
        <v>18748</v>
      </c>
      <c r="AQ293" s="307">
        <v>18298</v>
      </c>
      <c r="AR293" s="298">
        <v>5389</v>
      </c>
      <c r="AS293" s="307">
        <v>5328</v>
      </c>
      <c r="AT293" s="298">
        <v>19118</v>
      </c>
      <c r="AU293" s="307">
        <v>17830</v>
      </c>
      <c r="AV293" s="601">
        <f t="shared" si="99"/>
        <v>43255</v>
      </c>
      <c r="AW293" s="609">
        <f t="shared" si="100"/>
        <v>1802.2916666666667</v>
      </c>
      <c r="AX293" s="603">
        <f t="shared" si="101"/>
        <v>41456</v>
      </c>
      <c r="AY293" s="610">
        <f t="shared" si="102"/>
        <v>1727.3333333333333</v>
      </c>
      <c r="AZ293" s="611">
        <f t="shared" si="103"/>
        <v>8212.7583333333332</v>
      </c>
      <c r="BA293" s="603">
        <f t="shared" si="104"/>
        <v>8098.0999999999995</v>
      </c>
    </row>
    <row r="294" spans="1:53">
      <c r="A294" s="430" t="s">
        <v>159</v>
      </c>
      <c r="B294" s="431" t="s">
        <v>480</v>
      </c>
      <c r="C294" s="432"/>
      <c r="D294" s="433">
        <v>199218</v>
      </c>
      <c r="E294" s="433">
        <v>3</v>
      </c>
      <c r="F294" s="296" t="s">
        <v>52</v>
      </c>
      <c r="G294" s="297" t="s">
        <v>52</v>
      </c>
      <c r="H294" s="298"/>
      <c r="I294" s="299"/>
      <c r="J294" s="298">
        <v>150020</v>
      </c>
      <c r="K294" s="299">
        <v>152800</v>
      </c>
      <c r="L294" s="298">
        <v>29034</v>
      </c>
      <c r="M294" s="299">
        <v>29802</v>
      </c>
      <c r="N294" s="298">
        <v>164006</v>
      </c>
      <c r="O294" s="299">
        <v>167002</v>
      </c>
      <c r="P294" s="601">
        <f t="shared" si="87"/>
        <v>343060</v>
      </c>
      <c r="Q294" s="602">
        <f t="shared" si="88"/>
        <v>11435.333333333334</v>
      </c>
      <c r="R294" s="603">
        <f t="shared" si="89"/>
        <v>349604</v>
      </c>
      <c r="S294" s="604">
        <f t="shared" si="90"/>
        <v>11653.466666666667</v>
      </c>
      <c r="T294" s="298">
        <v>2450</v>
      </c>
      <c r="U294" s="299">
        <v>1970</v>
      </c>
      <c r="V294" s="601">
        <f t="shared" si="91"/>
        <v>343060</v>
      </c>
      <c r="W294" s="605">
        <f t="shared" si="92"/>
        <v>349604</v>
      </c>
      <c r="X294" s="305"/>
      <c r="Y294" s="299"/>
      <c r="Z294" s="298"/>
      <c r="AA294" s="299"/>
      <c r="AB294" s="298"/>
      <c r="AC294" s="299"/>
      <c r="AD294" s="298"/>
      <c r="AE294" s="299"/>
      <c r="AF294" s="601">
        <f t="shared" si="93"/>
        <v>0</v>
      </c>
      <c r="AG294" s="602">
        <f t="shared" si="94"/>
        <v>0</v>
      </c>
      <c r="AH294" s="603">
        <f t="shared" si="95"/>
        <v>0</v>
      </c>
      <c r="AI294" s="603">
        <f t="shared" si="96"/>
        <v>0</v>
      </c>
      <c r="AJ294" s="298"/>
      <c r="AK294" s="299"/>
      <c r="AL294" s="601">
        <f t="shared" si="97"/>
        <v>0</v>
      </c>
      <c r="AM294" s="604">
        <f t="shared" si="98"/>
        <v>0</v>
      </c>
      <c r="AN294" s="306"/>
      <c r="AO294" s="307"/>
      <c r="AP294" s="298">
        <v>9176</v>
      </c>
      <c r="AQ294" s="307">
        <v>8886</v>
      </c>
      <c r="AR294" s="298">
        <v>2840</v>
      </c>
      <c r="AS294" s="307">
        <v>2468</v>
      </c>
      <c r="AT294" s="298">
        <v>9532</v>
      </c>
      <c r="AU294" s="307">
        <v>8879</v>
      </c>
      <c r="AV294" s="601">
        <f t="shared" si="99"/>
        <v>21548</v>
      </c>
      <c r="AW294" s="609">
        <f t="shared" si="100"/>
        <v>897.83333333333337</v>
      </c>
      <c r="AX294" s="603">
        <f t="shared" si="101"/>
        <v>20233</v>
      </c>
      <c r="AY294" s="610">
        <f t="shared" si="102"/>
        <v>843.04166666666663</v>
      </c>
      <c r="AZ294" s="611">
        <f t="shared" si="103"/>
        <v>12333.166666666668</v>
      </c>
      <c r="BA294" s="603">
        <f t="shared" si="104"/>
        <v>12496.508333333333</v>
      </c>
    </row>
    <row r="295" spans="1:53">
      <c r="A295" s="430" t="s">
        <v>159</v>
      </c>
      <c r="B295" s="431" t="s">
        <v>481</v>
      </c>
      <c r="C295" s="432"/>
      <c r="D295" s="433">
        <v>200004</v>
      </c>
      <c r="E295" s="433">
        <v>3</v>
      </c>
      <c r="F295" s="296" t="s">
        <v>52</v>
      </c>
      <c r="G295" s="297" t="s">
        <v>52</v>
      </c>
      <c r="H295" s="298"/>
      <c r="I295" s="299"/>
      <c r="J295" s="298">
        <v>93339</v>
      </c>
      <c r="K295" s="299">
        <v>96356</v>
      </c>
      <c r="L295" s="298">
        <v>15648</v>
      </c>
      <c r="M295" s="299">
        <v>15932</v>
      </c>
      <c r="N295" s="298">
        <v>101655</v>
      </c>
      <c r="O295" s="299">
        <v>103553</v>
      </c>
      <c r="P295" s="601">
        <f t="shared" si="87"/>
        <v>210642</v>
      </c>
      <c r="Q295" s="602">
        <f t="shared" si="88"/>
        <v>7021.4</v>
      </c>
      <c r="R295" s="603">
        <f t="shared" si="89"/>
        <v>215841</v>
      </c>
      <c r="S295" s="604">
        <f t="shared" si="90"/>
        <v>7194.7</v>
      </c>
      <c r="T295" s="298">
        <v>0</v>
      </c>
      <c r="U295" s="299">
        <v>0</v>
      </c>
      <c r="V295" s="601">
        <f t="shared" si="91"/>
        <v>210642</v>
      </c>
      <c r="W295" s="605">
        <f t="shared" si="92"/>
        <v>215841</v>
      </c>
      <c r="X295" s="305"/>
      <c r="Y295" s="299"/>
      <c r="Z295" s="298"/>
      <c r="AA295" s="299"/>
      <c r="AB295" s="298"/>
      <c r="AC295" s="299"/>
      <c r="AD295" s="298"/>
      <c r="AE295" s="299"/>
      <c r="AF295" s="601">
        <f t="shared" si="93"/>
        <v>0</v>
      </c>
      <c r="AG295" s="602">
        <f t="shared" si="94"/>
        <v>0</v>
      </c>
      <c r="AH295" s="603">
        <f t="shared" si="95"/>
        <v>0</v>
      </c>
      <c r="AI295" s="603">
        <f t="shared" si="96"/>
        <v>0</v>
      </c>
      <c r="AJ295" s="298"/>
      <c r="AK295" s="299"/>
      <c r="AL295" s="601">
        <f t="shared" si="97"/>
        <v>0</v>
      </c>
      <c r="AM295" s="604">
        <f t="shared" si="98"/>
        <v>0</v>
      </c>
      <c r="AN295" s="306"/>
      <c r="AO295" s="307"/>
      <c r="AP295" s="298">
        <v>13276</v>
      </c>
      <c r="AQ295" s="307">
        <v>12433</v>
      </c>
      <c r="AR295" s="298">
        <v>7020</v>
      </c>
      <c r="AS295" s="307">
        <v>6089</v>
      </c>
      <c r="AT295" s="298">
        <v>13520</v>
      </c>
      <c r="AU295" s="307">
        <v>12691</v>
      </c>
      <c r="AV295" s="601">
        <f t="shared" si="99"/>
        <v>33816</v>
      </c>
      <c r="AW295" s="609">
        <f t="shared" si="100"/>
        <v>1409</v>
      </c>
      <c r="AX295" s="603">
        <f t="shared" si="101"/>
        <v>31213</v>
      </c>
      <c r="AY295" s="610">
        <f t="shared" si="102"/>
        <v>1300.5416666666667</v>
      </c>
      <c r="AZ295" s="611">
        <f t="shared" si="103"/>
        <v>8430.4</v>
      </c>
      <c r="BA295" s="603">
        <f t="shared" si="104"/>
        <v>8495.2416666666668</v>
      </c>
    </row>
    <row r="296" spans="1:53">
      <c r="A296" s="430" t="s">
        <v>159</v>
      </c>
      <c r="B296" s="434" t="s">
        <v>482</v>
      </c>
      <c r="C296" s="432"/>
      <c r="D296" s="433">
        <v>198543</v>
      </c>
      <c r="E296" s="433">
        <v>4</v>
      </c>
      <c r="F296" s="296" t="s">
        <v>52</v>
      </c>
      <c r="G296" s="297" t="s">
        <v>52</v>
      </c>
      <c r="H296" s="298"/>
      <c r="I296" s="299"/>
      <c r="J296" s="298">
        <v>63397</v>
      </c>
      <c r="K296" s="299">
        <v>61292</v>
      </c>
      <c r="L296" s="298">
        <v>19301</v>
      </c>
      <c r="M296" s="299">
        <v>20723</v>
      </c>
      <c r="N296" s="298">
        <v>62131</v>
      </c>
      <c r="O296" s="299">
        <v>66367</v>
      </c>
      <c r="P296" s="601">
        <f t="shared" si="87"/>
        <v>144829</v>
      </c>
      <c r="Q296" s="602">
        <f t="shared" si="88"/>
        <v>4827.6333333333332</v>
      </c>
      <c r="R296" s="603">
        <f t="shared" si="89"/>
        <v>148382</v>
      </c>
      <c r="S296" s="604">
        <f t="shared" si="90"/>
        <v>4946.0666666666666</v>
      </c>
      <c r="T296" s="298">
        <v>3887</v>
      </c>
      <c r="U296" s="299">
        <v>2856</v>
      </c>
      <c r="V296" s="601">
        <f t="shared" si="91"/>
        <v>144829</v>
      </c>
      <c r="W296" s="605">
        <f t="shared" si="92"/>
        <v>148382</v>
      </c>
      <c r="X296" s="305"/>
      <c r="Y296" s="299"/>
      <c r="Z296" s="298"/>
      <c r="AA296" s="299"/>
      <c r="AB296" s="298"/>
      <c r="AC296" s="299"/>
      <c r="AD296" s="298"/>
      <c r="AE296" s="299"/>
      <c r="AF296" s="601">
        <f t="shared" si="93"/>
        <v>0</v>
      </c>
      <c r="AG296" s="602">
        <f t="shared" si="94"/>
        <v>0</v>
      </c>
      <c r="AH296" s="603">
        <f t="shared" si="95"/>
        <v>0</v>
      </c>
      <c r="AI296" s="603">
        <f t="shared" si="96"/>
        <v>0</v>
      </c>
      <c r="AJ296" s="298"/>
      <c r="AK296" s="299"/>
      <c r="AL296" s="601">
        <f t="shared" si="97"/>
        <v>0</v>
      </c>
      <c r="AM296" s="604">
        <f t="shared" si="98"/>
        <v>0</v>
      </c>
      <c r="AN296" s="306"/>
      <c r="AO296" s="307"/>
      <c r="AP296" s="298">
        <v>3865</v>
      </c>
      <c r="AQ296" s="307">
        <v>4250</v>
      </c>
      <c r="AR296" s="298">
        <v>1367</v>
      </c>
      <c r="AS296" s="307">
        <v>1711</v>
      </c>
      <c r="AT296" s="298">
        <v>4239</v>
      </c>
      <c r="AU296" s="307">
        <v>4887</v>
      </c>
      <c r="AV296" s="601">
        <f t="shared" si="99"/>
        <v>9471</v>
      </c>
      <c r="AW296" s="609">
        <f t="shared" si="100"/>
        <v>394.625</v>
      </c>
      <c r="AX296" s="603">
        <f t="shared" si="101"/>
        <v>10848</v>
      </c>
      <c r="AY296" s="610">
        <f t="shared" si="102"/>
        <v>452</v>
      </c>
      <c r="AZ296" s="611">
        <f t="shared" si="103"/>
        <v>5222.2583333333332</v>
      </c>
      <c r="BA296" s="603">
        <f t="shared" si="104"/>
        <v>5398.0666666666666</v>
      </c>
    </row>
    <row r="297" spans="1:53">
      <c r="A297" s="430" t="s">
        <v>159</v>
      </c>
      <c r="B297" s="431" t="s">
        <v>483</v>
      </c>
      <c r="C297" s="432"/>
      <c r="D297" s="433">
        <v>199281</v>
      </c>
      <c r="E297" s="433">
        <v>5</v>
      </c>
      <c r="F297" s="296" t="s">
        <v>52</v>
      </c>
      <c r="G297" s="297" t="s">
        <v>52</v>
      </c>
      <c r="H297" s="298"/>
      <c r="I297" s="299"/>
      <c r="J297" s="298">
        <v>71193</v>
      </c>
      <c r="K297" s="299">
        <v>69387</v>
      </c>
      <c r="L297" s="298">
        <v>20215</v>
      </c>
      <c r="M297" s="299">
        <v>18862</v>
      </c>
      <c r="N297" s="298">
        <v>77729</v>
      </c>
      <c r="O297" s="299">
        <v>70204</v>
      </c>
      <c r="P297" s="601">
        <f t="shared" si="87"/>
        <v>169137</v>
      </c>
      <c r="Q297" s="602">
        <f t="shared" si="88"/>
        <v>5637.9</v>
      </c>
      <c r="R297" s="603">
        <f t="shared" si="89"/>
        <v>158453</v>
      </c>
      <c r="S297" s="604">
        <f t="shared" si="90"/>
        <v>5281.7666666666664</v>
      </c>
      <c r="T297" s="298">
        <v>0</v>
      </c>
      <c r="U297" s="299">
        <v>0</v>
      </c>
      <c r="V297" s="601">
        <f t="shared" si="91"/>
        <v>169137</v>
      </c>
      <c r="W297" s="605">
        <f t="shared" si="92"/>
        <v>158453</v>
      </c>
      <c r="X297" s="305"/>
      <c r="Y297" s="299"/>
      <c r="Z297" s="298"/>
      <c r="AA297" s="299"/>
      <c r="AB297" s="298"/>
      <c r="AC297" s="299"/>
      <c r="AD297" s="298"/>
      <c r="AE297" s="299"/>
      <c r="AF297" s="601">
        <f t="shared" si="93"/>
        <v>0</v>
      </c>
      <c r="AG297" s="602">
        <f t="shared" si="94"/>
        <v>0</v>
      </c>
      <c r="AH297" s="603">
        <f t="shared" si="95"/>
        <v>0</v>
      </c>
      <c r="AI297" s="603">
        <f t="shared" si="96"/>
        <v>0</v>
      </c>
      <c r="AJ297" s="298"/>
      <c r="AK297" s="299"/>
      <c r="AL297" s="601">
        <f t="shared" si="97"/>
        <v>0</v>
      </c>
      <c r="AM297" s="604">
        <f t="shared" si="98"/>
        <v>0</v>
      </c>
      <c r="AN297" s="306"/>
      <c r="AO297" s="307"/>
      <c r="AP297" s="298">
        <v>4054</v>
      </c>
      <c r="AQ297" s="307">
        <v>4395</v>
      </c>
      <c r="AR297" s="298">
        <v>2604</v>
      </c>
      <c r="AS297" s="307">
        <v>2861</v>
      </c>
      <c r="AT297" s="298">
        <v>4434</v>
      </c>
      <c r="AU297" s="307">
        <v>4418</v>
      </c>
      <c r="AV297" s="601">
        <f t="shared" si="99"/>
        <v>11092</v>
      </c>
      <c r="AW297" s="609">
        <f t="shared" si="100"/>
        <v>462.16666666666669</v>
      </c>
      <c r="AX297" s="603">
        <f t="shared" si="101"/>
        <v>11674</v>
      </c>
      <c r="AY297" s="610">
        <f t="shared" si="102"/>
        <v>486.41666666666669</v>
      </c>
      <c r="AZ297" s="611">
        <f t="shared" si="103"/>
        <v>6100.0666666666666</v>
      </c>
      <c r="BA297" s="603">
        <f t="shared" si="104"/>
        <v>5768.1833333333334</v>
      </c>
    </row>
    <row r="298" spans="1:53">
      <c r="A298" s="430" t="s">
        <v>159</v>
      </c>
      <c r="B298" s="431" t="s">
        <v>484</v>
      </c>
      <c r="C298" s="432"/>
      <c r="D298" s="433">
        <v>199999</v>
      </c>
      <c r="E298" s="433">
        <v>5</v>
      </c>
      <c r="F298" s="296" t="s">
        <v>52</v>
      </c>
      <c r="G298" s="297" t="s">
        <v>52</v>
      </c>
      <c r="H298" s="298"/>
      <c r="I298" s="299"/>
      <c r="J298" s="298">
        <v>77325</v>
      </c>
      <c r="K298" s="299">
        <v>73940</v>
      </c>
      <c r="L298" s="298">
        <v>15086</v>
      </c>
      <c r="M298" s="299">
        <v>18550</v>
      </c>
      <c r="N298" s="298">
        <v>81301</v>
      </c>
      <c r="O298" s="299">
        <v>77974</v>
      </c>
      <c r="P298" s="601">
        <f t="shared" si="87"/>
        <v>173712</v>
      </c>
      <c r="Q298" s="602">
        <f t="shared" si="88"/>
        <v>5790.4</v>
      </c>
      <c r="R298" s="603">
        <f t="shared" si="89"/>
        <v>170464</v>
      </c>
      <c r="S298" s="604">
        <f t="shared" si="90"/>
        <v>5682.1333333333332</v>
      </c>
      <c r="T298" s="298">
        <v>0</v>
      </c>
      <c r="U298" s="299">
        <v>0</v>
      </c>
      <c r="V298" s="601">
        <f t="shared" si="91"/>
        <v>173712</v>
      </c>
      <c r="W298" s="605">
        <f t="shared" si="92"/>
        <v>170464</v>
      </c>
      <c r="X298" s="305"/>
      <c r="Y298" s="299"/>
      <c r="Z298" s="298"/>
      <c r="AA298" s="299"/>
      <c r="AB298" s="298"/>
      <c r="AC298" s="299"/>
      <c r="AD298" s="298"/>
      <c r="AE298" s="299"/>
      <c r="AF298" s="601">
        <f t="shared" si="93"/>
        <v>0</v>
      </c>
      <c r="AG298" s="602">
        <f t="shared" si="94"/>
        <v>0</v>
      </c>
      <c r="AH298" s="603">
        <f t="shared" si="95"/>
        <v>0</v>
      </c>
      <c r="AI298" s="603">
        <f t="shared" si="96"/>
        <v>0</v>
      </c>
      <c r="AJ298" s="298"/>
      <c r="AK298" s="299"/>
      <c r="AL298" s="601">
        <f t="shared" si="97"/>
        <v>0</v>
      </c>
      <c r="AM298" s="604">
        <f t="shared" si="98"/>
        <v>0</v>
      </c>
      <c r="AN298" s="306"/>
      <c r="AO298" s="307"/>
      <c r="AP298" s="298">
        <v>4484</v>
      </c>
      <c r="AQ298" s="307">
        <v>4711</v>
      </c>
      <c r="AR298" s="298">
        <v>1689</v>
      </c>
      <c r="AS298" s="307">
        <v>2074</v>
      </c>
      <c r="AT298" s="298">
        <v>4611</v>
      </c>
      <c r="AU298" s="307">
        <v>4569</v>
      </c>
      <c r="AV298" s="601">
        <f t="shared" si="99"/>
        <v>10784</v>
      </c>
      <c r="AW298" s="609">
        <f t="shared" si="100"/>
        <v>449.33333333333331</v>
      </c>
      <c r="AX298" s="603">
        <f t="shared" si="101"/>
        <v>11354</v>
      </c>
      <c r="AY298" s="610">
        <f t="shared" si="102"/>
        <v>473.08333333333331</v>
      </c>
      <c r="AZ298" s="611">
        <f t="shared" si="103"/>
        <v>6239.7333333333327</v>
      </c>
      <c r="BA298" s="603">
        <f t="shared" si="104"/>
        <v>6155.2166666666662</v>
      </c>
    </row>
    <row r="299" spans="1:53">
      <c r="A299" s="430" t="s">
        <v>159</v>
      </c>
      <c r="B299" s="431" t="s">
        <v>485</v>
      </c>
      <c r="C299" s="432"/>
      <c r="D299" s="433">
        <v>198507</v>
      </c>
      <c r="E299" s="433">
        <v>6</v>
      </c>
      <c r="F299" s="296" t="s">
        <v>52</v>
      </c>
      <c r="G299" s="297" t="s">
        <v>52</v>
      </c>
      <c r="H299" s="298"/>
      <c r="I299" s="299"/>
      <c r="J299" s="298">
        <v>42958</v>
      </c>
      <c r="K299" s="299">
        <v>42025</v>
      </c>
      <c r="L299" s="298">
        <v>10611</v>
      </c>
      <c r="M299" s="299">
        <v>13220</v>
      </c>
      <c r="N299" s="298">
        <v>46482</v>
      </c>
      <c r="O299" s="299">
        <v>40030</v>
      </c>
      <c r="P299" s="601">
        <f t="shared" si="87"/>
        <v>100051</v>
      </c>
      <c r="Q299" s="602">
        <f t="shared" si="88"/>
        <v>3335.0333333333333</v>
      </c>
      <c r="R299" s="603">
        <f t="shared" si="89"/>
        <v>95275</v>
      </c>
      <c r="S299" s="604">
        <f t="shared" si="90"/>
        <v>3175.8333333333335</v>
      </c>
      <c r="T299" s="298">
        <v>0</v>
      </c>
      <c r="U299" s="299">
        <v>0</v>
      </c>
      <c r="V299" s="601">
        <f t="shared" si="91"/>
        <v>100051</v>
      </c>
      <c r="W299" s="605">
        <f t="shared" si="92"/>
        <v>95275</v>
      </c>
      <c r="X299" s="305"/>
      <c r="Y299" s="299"/>
      <c r="Z299" s="298"/>
      <c r="AA299" s="299"/>
      <c r="AB299" s="298"/>
      <c r="AC299" s="299"/>
      <c r="AD299" s="298"/>
      <c r="AE299" s="299"/>
      <c r="AF299" s="601">
        <f t="shared" si="93"/>
        <v>0</v>
      </c>
      <c r="AG299" s="602">
        <f t="shared" si="94"/>
        <v>0</v>
      </c>
      <c r="AH299" s="603">
        <f t="shared" si="95"/>
        <v>0</v>
      </c>
      <c r="AI299" s="603">
        <f t="shared" si="96"/>
        <v>0</v>
      </c>
      <c r="AJ299" s="298"/>
      <c r="AK299" s="299"/>
      <c r="AL299" s="601">
        <f t="shared" si="97"/>
        <v>0</v>
      </c>
      <c r="AM299" s="604">
        <f t="shared" si="98"/>
        <v>0</v>
      </c>
      <c r="AN299" s="306"/>
      <c r="AO299" s="307"/>
      <c r="AP299" s="298">
        <v>426</v>
      </c>
      <c r="AQ299" s="307">
        <v>478</v>
      </c>
      <c r="AR299" s="298">
        <v>330</v>
      </c>
      <c r="AS299" s="307">
        <v>460</v>
      </c>
      <c r="AT299" s="298">
        <v>320</v>
      </c>
      <c r="AU299" s="307">
        <v>592</v>
      </c>
      <c r="AV299" s="601">
        <f t="shared" si="99"/>
        <v>1076</v>
      </c>
      <c r="AW299" s="609">
        <f t="shared" si="100"/>
        <v>44.833333333333336</v>
      </c>
      <c r="AX299" s="603">
        <f t="shared" si="101"/>
        <v>1530</v>
      </c>
      <c r="AY299" s="610">
        <f t="shared" si="102"/>
        <v>63.75</v>
      </c>
      <c r="AZ299" s="611">
        <f t="shared" si="103"/>
        <v>3379.8666666666668</v>
      </c>
      <c r="BA299" s="603">
        <f t="shared" si="104"/>
        <v>3239.5833333333335</v>
      </c>
    </row>
    <row r="300" spans="1:53">
      <c r="A300" s="430" t="s">
        <v>159</v>
      </c>
      <c r="B300" s="431" t="s">
        <v>486</v>
      </c>
      <c r="C300" s="432"/>
      <c r="D300" s="433">
        <v>199111</v>
      </c>
      <c r="E300" s="433">
        <v>6</v>
      </c>
      <c r="F300" s="296" t="s">
        <v>52</v>
      </c>
      <c r="G300" s="297" t="s">
        <v>52</v>
      </c>
      <c r="H300" s="298"/>
      <c r="I300" s="299"/>
      <c r="J300" s="298">
        <v>47045</v>
      </c>
      <c r="K300" s="299">
        <v>46895</v>
      </c>
      <c r="L300" s="298">
        <v>4747</v>
      </c>
      <c r="M300" s="299">
        <v>5398</v>
      </c>
      <c r="N300" s="298">
        <v>50673</v>
      </c>
      <c r="O300" s="299">
        <v>49074</v>
      </c>
      <c r="P300" s="601">
        <f t="shared" si="87"/>
        <v>102465</v>
      </c>
      <c r="Q300" s="602">
        <f t="shared" si="88"/>
        <v>3415.5</v>
      </c>
      <c r="R300" s="603">
        <f t="shared" si="89"/>
        <v>101367</v>
      </c>
      <c r="S300" s="604">
        <f t="shared" si="90"/>
        <v>3378.9</v>
      </c>
      <c r="T300" s="298">
        <v>251</v>
      </c>
      <c r="U300" s="299">
        <v>0</v>
      </c>
      <c r="V300" s="601">
        <f t="shared" si="91"/>
        <v>102465</v>
      </c>
      <c r="W300" s="605">
        <f t="shared" si="92"/>
        <v>101367</v>
      </c>
      <c r="X300" s="305"/>
      <c r="Y300" s="299"/>
      <c r="Z300" s="298"/>
      <c r="AA300" s="299"/>
      <c r="AB300" s="298"/>
      <c r="AC300" s="299"/>
      <c r="AD300" s="298"/>
      <c r="AE300" s="299"/>
      <c r="AF300" s="601">
        <f t="shared" si="93"/>
        <v>0</v>
      </c>
      <c r="AG300" s="602">
        <f t="shared" si="94"/>
        <v>0</v>
      </c>
      <c r="AH300" s="603">
        <f t="shared" si="95"/>
        <v>0</v>
      </c>
      <c r="AI300" s="603">
        <f t="shared" si="96"/>
        <v>0</v>
      </c>
      <c r="AJ300" s="298"/>
      <c r="AK300" s="299"/>
      <c r="AL300" s="601">
        <f t="shared" si="97"/>
        <v>0</v>
      </c>
      <c r="AM300" s="604">
        <f t="shared" si="98"/>
        <v>0</v>
      </c>
      <c r="AN300" s="306"/>
      <c r="AO300" s="307"/>
      <c r="AP300" s="298">
        <v>210</v>
      </c>
      <c r="AQ300" s="307">
        <v>292</v>
      </c>
      <c r="AR300" s="298">
        <v>9</v>
      </c>
      <c r="AS300" s="307">
        <v>11</v>
      </c>
      <c r="AT300" s="298">
        <v>224</v>
      </c>
      <c r="AU300" s="307">
        <v>239</v>
      </c>
      <c r="AV300" s="601">
        <f t="shared" si="99"/>
        <v>443</v>
      </c>
      <c r="AW300" s="609">
        <f t="shared" si="100"/>
        <v>18.458333333333332</v>
      </c>
      <c r="AX300" s="603">
        <f t="shared" si="101"/>
        <v>542</v>
      </c>
      <c r="AY300" s="610">
        <f t="shared" si="102"/>
        <v>22.583333333333332</v>
      </c>
      <c r="AZ300" s="611">
        <f t="shared" si="103"/>
        <v>3433.9583333333335</v>
      </c>
      <c r="BA300" s="603">
        <f t="shared" si="104"/>
        <v>3401.4833333333336</v>
      </c>
    </row>
    <row r="301" spans="1:53">
      <c r="A301" s="491" t="s">
        <v>159</v>
      </c>
      <c r="B301" s="373" t="s">
        <v>731</v>
      </c>
      <c r="C301" s="492"/>
      <c r="D301" s="372">
        <v>197887</v>
      </c>
      <c r="E301" s="372">
        <v>8</v>
      </c>
      <c r="F301" s="296" t="s">
        <v>52</v>
      </c>
      <c r="G301" s="297" t="s">
        <v>52</v>
      </c>
      <c r="H301" s="298"/>
      <c r="I301" s="299"/>
      <c r="J301" s="298">
        <v>65873</v>
      </c>
      <c r="K301" s="299">
        <v>71980</v>
      </c>
      <c r="L301" s="298">
        <v>18786</v>
      </c>
      <c r="M301" s="299">
        <v>20321</v>
      </c>
      <c r="N301" s="298">
        <v>74757</v>
      </c>
      <c r="O301" s="299">
        <v>75991</v>
      </c>
      <c r="P301" s="601">
        <f t="shared" si="87"/>
        <v>159416</v>
      </c>
      <c r="Q301" s="602">
        <f t="shared" si="88"/>
        <v>5313.8666666666668</v>
      </c>
      <c r="R301" s="603">
        <f t="shared" si="89"/>
        <v>168292</v>
      </c>
      <c r="S301" s="604">
        <f t="shared" si="90"/>
        <v>5609.7333333333336</v>
      </c>
      <c r="T301" s="298">
        <v>15632</v>
      </c>
      <c r="U301" s="299">
        <v>14859</v>
      </c>
      <c r="V301" s="601">
        <f t="shared" si="91"/>
        <v>159416</v>
      </c>
      <c r="W301" s="605">
        <f t="shared" si="92"/>
        <v>168292</v>
      </c>
      <c r="X301" s="305"/>
      <c r="Y301" s="299"/>
      <c r="Z301" s="298"/>
      <c r="AA301" s="299"/>
      <c r="AB301" s="298"/>
      <c r="AC301" s="299"/>
      <c r="AD301" s="298"/>
      <c r="AE301" s="299"/>
      <c r="AF301" s="601">
        <f t="shared" si="93"/>
        <v>0</v>
      </c>
      <c r="AG301" s="602">
        <f t="shared" si="94"/>
        <v>0</v>
      </c>
      <c r="AH301" s="603">
        <f t="shared" si="95"/>
        <v>0</v>
      </c>
      <c r="AI301" s="603">
        <f t="shared" si="96"/>
        <v>0</v>
      </c>
      <c r="AJ301" s="298"/>
      <c r="AK301" s="299"/>
      <c r="AL301" s="601">
        <f t="shared" si="97"/>
        <v>0</v>
      </c>
      <c r="AM301" s="604">
        <f t="shared" si="98"/>
        <v>0</v>
      </c>
      <c r="AN301" s="306"/>
      <c r="AO301" s="307"/>
      <c r="AP301" s="298"/>
      <c r="AQ301" s="307"/>
      <c r="AR301" s="298"/>
      <c r="AS301" s="307"/>
      <c r="AT301" s="298"/>
      <c r="AU301" s="307"/>
      <c r="AV301" s="601">
        <f t="shared" si="99"/>
        <v>0</v>
      </c>
      <c r="AW301" s="609">
        <f t="shared" si="100"/>
        <v>0</v>
      </c>
      <c r="AX301" s="603">
        <f t="shared" si="101"/>
        <v>0</v>
      </c>
      <c r="AY301" s="610">
        <f t="shared" si="102"/>
        <v>0</v>
      </c>
      <c r="AZ301" s="611">
        <f t="shared" si="103"/>
        <v>5313.8666666666668</v>
      </c>
      <c r="BA301" s="603">
        <f t="shared" si="104"/>
        <v>5609.7333333333336</v>
      </c>
    </row>
    <row r="302" spans="1:53">
      <c r="A302" s="380" t="s">
        <v>159</v>
      </c>
      <c r="B302" s="373" t="s">
        <v>732</v>
      </c>
      <c r="C302" s="492"/>
      <c r="D302" s="372">
        <v>198154</v>
      </c>
      <c r="E302" s="372">
        <v>8</v>
      </c>
      <c r="F302" s="296" t="s">
        <v>52</v>
      </c>
      <c r="G302" s="297" t="s">
        <v>52</v>
      </c>
      <c r="H302" s="298"/>
      <c r="I302" s="299"/>
      <c r="J302" s="298">
        <v>91061</v>
      </c>
      <c r="K302" s="299">
        <v>95828</v>
      </c>
      <c r="L302" s="298">
        <v>23447</v>
      </c>
      <c r="M302" s="299">
        <v>24078</v>
      </c>
      <c r="N302" s="298">
        <v>98041</v>
      </c>
      <c r="O302" s="299">
        <v>98659</v>
      </c>
      <c r="P302" s="601">
        <f t="shared" si="87"/>
        <v>212549</v>
      </c>
      <c r="Q302" s="602">
        <f t="shared" si="88"/>
        <v>7084.9666666666662</v>
      </c>
      <c r="R302" s="603">
        <f t="shared" si="89"/>
        <v>218565</v>
      </c>
      <c r="S302" s="604">
        <f t="shared" si="90"/>
        <v>7285.5</v>
      </c>
      <c r="T302" s="298">
        <v>5629</v>
      </c>
      <c r="U302" s="299">
        <v>6656</v>
      </c>
      <c r="V302" s="601">
        <f t="shared" si="91"/>
        <v>212549</v>
      </c>
      <c r="W302" s="605">
        <f t="shared" si="92"/>
        <v>218565</v>
      </c>
      <c r="X302" s="305"/>
      <c r="Y302" s="299"/>
      <c r="Z302" s="298"/>
      <c r="AA302" s="299"/>
      <c r="AB302" s="298"/>
      <c r="AC302" s="299"/>
      <c r="AD302" s="298"/>
      <c r="AE302" s="299"/>
      <c r="AF302" s="601">
        <f t="shared" si="93"/>
        <v>0</v>
      </c>
      <c r="AG302" s="602">
        <f t="shared" si="94"/>
        <v>0</v>
      </c>
      <c r="AH302" s="603">
        <f t="shared" si="95"/>
        <v>0</v>
      </c>
      <c r="AI302" s="603">
        <f t="shared" si="96"/>
        <v>0</v>
      </c>
      <c r="AJ302" s="298"/>
      <c r="AK302" s="299"/>
      <c r="AL302" s="601">
        <f t="shared" si="97"/>
        <v>0</v>
      </c>
      <c r="AM302" s="604">
        <f t="shared" si="98"/>
        <v>0</v>
      </c>
      <c r="AN302" s="306"/>
      <c r="AO302" s="307"/>
      <c r="AP302" s="298"/>
      <c r="AQ302" s="307"/>
      <c r="AR302" s="298"/>
      <c r="AS302" s="307"/>
      <c r="AT302" s="298"/>
      <c r="AU302" s="307"/>
      <c r="AV302" s="601">
        <f t="shared" si="99"/>
        <v>0</v>
      </c>
      <c r="AW302" s="609">
        <f t="shared" si="100"/>
        <v>0</v>
      </c>
      <c r="AX302" s="603">
        <f t="shared" si="101"/>
        <v>0</v>
      </c>
      <c r="AY302" s="610">
        <f t="shared" si="102"/>
        <v>0</v>
      </c>
      <c r="AZ302" s="611">
        <f t="shared" si="103"/>
        <v>7084.9666666666662</v>
      </c>
      <c r="BA302" s="603">
        <f t="shared" si="104"/>
        <v>7285.5</v>
      </c>
    </row>
    <row r="303" spans="1:53">
      <c r="A303" s="380" t="s">
        <v>159</v>
      </c>
      <c r="B303" s="373" t="s">
        <v>733</v>
      </c>
      <c r="C303" s="492"/>
      <c r="D303" s="372">
        <v>198260</v>
      </c>
      <c r="E303" s="372">
        <v>8</v>
      </c>
      <c r="F303" s="296" t="s">
        <v>52</v>
      </c>
      <c r="G303" s="297" t="s">
        <v>52</v>
      </c>
      <c r="H303" s="298"/>
      <c r="I303" s="299"/>
      <c r="J303" s="298">
        <v>176551</v>
      </c>
      <c r="K303" s="299">
        <v>185959</v>
      </c>
      <c r="L303" s="298">
        <v>50648</v>
      </c>
      <c r="M303" s="299">
        <v>54528</v>
      </c>
      <c r="N303" s="298">
        <v>182344</v>
      </c>
      <c r="O303" s="299">
        <v>182241</v>
      </c>
      <c r="P303" s="601">
        <f t="shared" si="87"/>
        <v>409543</v>
      </c>
      <c r="Q303" s="602">
        <f t="shared" si="88"/>
        <v>13651.433333333332</v>
      </c>
      <c r="R303" s="603">
        <f t="shared" si="89"/>
        <v>422728</v>
      </c>
      <c r="S303" s="604">
        <f t="shared" si="90"/>
        <v>14090.933333333332</v>
      </c>
      <c r="T303" s="298">
        <v>4937</v>
      </c>
      <c r="U303" s="299">
        <v>4741</v>
      </c>
      <c r="V303" s="601">
        <f t="shared" si="91"/>
        <v>409543</v>
      </c>
      <c r="W303" s="605">
        <f t="shared" si="92"/>
        <v>422728</v>
      </c>
      <c r="X303" s="305"/>
      <c r="Y303" s="299"/>
      <c r="Z303" s="298"/>
      <c r="AA303" s="299"/>
      <c r="AB303" s="298"/>
      <c r="AC303" s="299"/>
      <c r="AD303" s="298"/>
      <c r="AE303" s="299"/>
      <c r="AF303" s="601">
        <f t="shared" si="93"/>
        <v>0</v>
      </c>
      <c r="AG303" s="602">
        <f t="shared" si="94"/>
        <v>0</v>
      </c>
      <c r="AH303" s="603">
        <f t="shared" si="95"/>
        <v>0</v>
      </c>
      <c r="AI303" s="603">
        <f t="shared" si="96"/>
        <v>0</v>
      </c>
      <c r="AJ303" s="298"/>
      <c r="AK303" s="299"/>
      <c r="AL303" s="601">
        <f t="shared" si="97"/>
        <v>0</v>
      </c>
      <c r="AM303" s="604">
        <f t="shared" si="98"/>
        <v>0</v>
      </c>
      <c r="AN303" s="306"/>
      <c r="AO303" s="307"/>
      <c r="AP303" s="298"/>
      <c r="AQ303" s="307"/>
      <c r="AR303" s="298"/>
      <c r="AS303" s="307"/>
      <c r="AT303" s="298"/>
      <c r="AU303" s="307"/>
      <c r="AV303" s="601">
        <f t="shared" si="99"/>
        <v>0</v>
      </c>
      <c r="AW303" s="609">
        <f t="shared" si="100"/>
        <v>0</v>
      </c>
      <c r="AX303" s="603">
        <f t="shared" si="101"/>
        <v>0</v>
      </c>
      <c r="AY303" s="610">
        <f t="shared" si="102"/>
        <v>0</v>
      </c>
      <c r="AZ303" s="611">
        <f t="shared" si="103"/>
        <v>13651.433333333332</v>
      </c>
      <c r="BA303" s="603">
        <f t="shared" si="104"/>
        <v>14090.933333333332</v>
      </c>
    </row>
    <row r="304" spans="1:53">
      <c r="A304" s="380" t="s">
        <v>159</v>
      </c>
      <c r="B304" s="373" t="s">
        <v>734</v>
      </c>
      <c r="C304" s="492"/>
      <c r="D304" s="372">
        <v>198534</v>
      </c>
      <c r="E304" s="372">
        <v>8</v>
      </c>
      <c r="F304" s="296" t="s">
        <v>52</v>
      </c>
      <c r="G304" s="297" t="s">
        <v>52</v>
      </c>
      <c r="H304" s="298"/>
      <c r="I304" s="299"/>
      <c r="J304" s="298">
        <v>110789</v>
      </c>
      <c r="K304" s="299">
        <v>102826</v>
      </c>
      <c r="L304" s="298">
        <v>29015</v>
      </c>
      <c r="M304" s="299">
        <v>26569</v>
      </c>
      <c r="N304" s="298">
        <v>102538</v>
      </c>
      <c r="O304" s="299">
        <v>108927</v>
      </c>
      <c r="P304" s="601">
        <f t="shared" si="87"/>
        <v>242342</v>
      </c>
      <c r="Q304" s="602">
        <f t="shared" si="88"/>
        <v>8078.0666666666666</v>
      </c>
      <c r="R304" s="603">
        <f t="shared" si="89"/>
        <v>238322</v>
      </c>
      <c r="S304" s="604">
        <f t="shared" si="90"/>
        <v>7944.0666666666666</v>
      </c>
      <c r="T304" s="298">
        <v>5595</v>
      </c>
      <c r="U304" s="299">
        <v>4886</v>
      </c>
      <c r="V304" s="601">
        <f t="shared" si="91"/>
        <v>242342</v>
      </c>
      <c r="W304" s="605">
        <f t="shared" si="92"/>
        <v>238322</v>
      </c>
      <c r="X304" s="305"/>
      <c r="Y304" s="299"/>
      <c r="Z304" s="298"/>
      <c r="AA304" s="299"/>
      <c r="AB304" s="298"/>
      <c r="AC304" s="299"/>
      <c r="AD304" s="298"/>
      <c r="AE304" s="299"/>
      <c r="AF304" s="601">
        <f t="shared" si="93"/>
        <v>0</v>
      </c>
      <c r="AG304" s="602">
        <f t="shared" si="94"/>
        <v>0</v>
      </c>
      <c r="AH304" s="603">
        <f t="shared" si="95"/>
        <v>0</v>
      </c>
      <c r="AI304" s="603">
        <f t="shared" si="96"/>
        <v>0</v>
      </c>
      <c r="AJ304" s="298"/>
      <c r="AK304" s="299"/>
      <c r="AL304" s="601">
        <f t="shared" si="97"/>
        <v>0</v>
      </c>
      <c r="AM304" s="604">
        <f t="shared" si="98"/>
        <v>0</v>
      </c>
      <c r="AN304" s="306"/>
      <c r="AO304" s="307"/>
      <c r="AP304" s="298"/>
      <c r="AQ304" s="307"/>
      <c r="AR304" s="298"/>
      <c r="AS304" s="307"/>
      <c r="AT304" s="298"/>
      <c r="AU304" s="307"/>
      <c r="AV304" s="601">
        <f t="shared" si="99"/>
        <v>0</v>
      </c>
      <c r="AW304" s="609">
        <f t="shared" si="100"/>
        <v>0</v>
      </c>
      <c r="AX304" s="603">
        <f t="shared" si="101"/>
        <v>0</v>
      </c>
      <c r="AY304" s="610">
        <f t="shared" si="102"/>
        <v>0</v>
      </c>
      <c r="AZ304" s="611">
        <f t="shared" si="103"/>
        <v>8078.0666666666666</v>
      </c>
      <c r="BA304" s="603">
        <f t="shared" si="104"/>
        <v>7944.0666666666666</v>
      </c>
    </row>
    <row r="305" spans="1:53">
      <c r="A305" s="380" t="s">
        <v>159</v>
      </c>
      <c r="B305" s="373" t="s">
        <v>735</v>
      </c>
      <c r="C305" s="492"/>
      <c r="D305" s="372">
        <v>198552</v>
      </c>
      <c r="E305" s="372">
        <v>8</v>
      </c>
      <c r="F305" s="296" t="s">
        <v>52</v>
      </c>
      <c r="G305" s="297" t="s">
        <v>52</v>
      </c>
      <c r="H305" s="298"/>
      <c r="I305" s="299"/>
      <c r="J305" s="298">
        <v>91567</v>
      </c>
      <c r="K305" s="299">
        <v>95222</v>
      </c>
      <c r="L305" s="298">
        <v>27211</v>
      </c>
      <c r="M305" s="299">
        <v>26145</v>
      </c>
      <c r="N305" s="298">
        <v>96293</v>
      </c>
      <c r="O305" s="299">
        <v>103072</v>
      </c>
      <c r="P305" s="601">
        <f t="shared" si="87"/>
        <v>215071</v>
      </c>
      <c r="Q305" s="602">
        <f t="shared" si="88"/>
        <v>7169.0333333333338</v>
      </c>
      <c r="R305" s="603">
        <f t="shared" si="89"/>
        <v>224439</v>
      </c>
      <c r="S305" s="604">
        <f t="shared" si="90"/>
        <v>7481.3</v>
      </c>
      <c r="T305" s="298">
        <v>6581</v>
      </c>
      <c r="U305" s="299">
        <v>7309</v>
      </c>
      <c r="V305" s="601">
        <f t="shared" si="91"/>
        <v>215071</v>
      </c>
      <c r="W305" s="605">
        <f t="shared" si="92"/>
        <v>224439</v>
      </c>
      <c r="X305" s="305"/>
      <c r="Y305" s="299"/>
      <c r="Z305" s="298"/>
      <c r="AA305" s="299"/>
      <c r="AB305" s="298"/>
      <c r="AC305" s="299"/>
      <c r="AD305" s="298"/>
      <c r="AE305" s="299"/>
      <c r="AF305" s="601">
        <f t="shared" si="93"/>
        <v>0</v>
      </c>
      <c r="AG305" s="602">
        <f t="shared" si="94"/>
        <v>0</v>
      </c>
      <c r="AH305" s="603">
        <f t="shared" si="95"/>
        <v>0</v>
      </c>
      <c r="AI305" s="603">
        <f t="shared" si="96"/>
        <v>0</v>
      </c>
      <c r="AJ305" s="298"/>
      <c r="AK305" s="299"/>
      <c r="AL305" s="601">
        <f t="shared" si="97"/>
        <v>0</v>
      </c>
      <c r="AM305" s="604">
        <f t="shared" si="98"/>
        <v>0</v>
      </c>
      <c r="AN305" s="306"/>
      <c r="AO305" s="307"/>
      <c r="AP305" s="298"/>
      <c r="AQ305" s="307"/>
      <c r="AR305" s="298"/>
      <c r="AS305" s="307"/>
      <c r="AT305" s="298"/>
      <c r="AU305" s="307"/>
      <c r="AV305" s="601">
        <f t="shared" si="99"/>
        <v>0</v>
      </c>
      <c r="AW305" s="609">
        <f t="shared" si="100"/>
        <v>0</v>
      </c>
      <c r="AX305" s="603">
        <f t="shared" si="101"/>
        <v>0</v>
      </c>
      <c r="AY305" s="610">
        <f t="shared" si="102"/>
        <v>0</v>
      </c>
      <c r="AZ305" s="611">
        <f t="shared" si="103"/>
        <v>7169.0333333333338</v>
      </c>
      <c r="BA305" s="603">
        <f t="shared" si="104"/>
        <v>7481.3</v>
      </c>
    </row>
    <row r="306" spans="1:53">
      <c r="A306" s="380" t="s">
        <v>159</v>
      </c>
      <c r="B306" s="493" t="s">
        <v>736</v>
      </c>
      <c r="C306" s="492" t="s">
        <v>789</v>
      </c>
      <c r="D306" s="372">
        <v>198570</v>
      </c>
      <c r="E306" s="494">
        <v>8</v>
      </c>
      <c r="F306" s="296" t="s">
        <v>52</v>
      </c>
      <c r="G306" s="297" t="s">
        <v>52</v>
      </c>
      <c r="H306" s="298"/>
      <c r="I306" s="299"/>
      <c r="J306" s="298">
        <v>68772</v>
      </c>
      <c r="K306" s="299">
        <v>67165</v>
      </c>
      <c r="L306" s="298">
        <v>15375</v>
      </c>
      <c r="M306" s="299">
        <v>9057</v>
      </c>
      <c r="N306" s="298">
        <v>67180</v>
      </c>
      <c r="O306" s="299">
        <v>63331</v>
      </c>
      <c r="P306" s="601">
        <f t="shared" si="87"/>
        <v>151327</v>
      </c>
      <c r="Q306" s="602">
        <f t="shared" si="88"/>
        <v>5044.2333333333336</v>
      </c>
      <c r="R306" s="603">
        <f t="shared" si="89"/>
        <v>139553</v>
      </c>
      <c r="S306" s="604">
        <f t="shared" si="90"/>
        <v>4651.7666666666664</v>
      </c>
      <c r="T306" s="298">
        <v>5432</v>
      </c>
      <c r="U306" s="299">
        <v>5038</v>
      </c>
      <c r="V306" s="601">
        <f t="shared" si="91"/>
        <v>151327</v>
      </c>
      <c r="W306" s="605">
        <f t="shared" si="92"/>
        <v>139553</v>
      </c>
      <c r="X306" s="305"/>
      <c r="Y306" s="299"/>
      <c r="Z306" s="298"/>
      <c r="AA306" s="299"/>
      <c r="AB306" s="298"/>
      <c r="AC306" s="299"/>
      <c r="AD306" s="298"/>
      <c r="AE306" s="299"/>
      <c r="AF306" s="601">
        <f t="shared" si="93"/>
        <v>0</v>
      </c>
      <c r="AG306" s="602">
        <f t="shared" si="94"/>
        <v>0</v>
      </c>
      <c r="AH306" s="603">
        <f t="shared" si="95"/>
        <v>0</v>
      </c>
      <c r="AI306" s="603">
        <f t="shared" si="96"/>
        <v>0</v>
      </c>
      <c r="AJ306" s="298"/>
      <c r="AK306" s="299"/>
      <c r="AL306" s="601">
        <f t="shared" si="97"/>
        <v>0</v>
      </c>
      <c r="AM306" s="604">
        <f t="shared" si="98"/>
        <v>0</v>
      </c>
      <c r="AN306" s="306"/>
      <c r="AO306" s="307"/>
      <c r="AP306" s="298"/>
      <c r="AQ306" s="307"/>
      <c r="AR306" s="298"/>
      <c r="AS306" s="307"/>
      <c r="AT306" s="298"/>
      <c r="AU306" s="307"/>
      <c r="AV306" s="601">
        <f t="shared" si="99"/>
        <v>0</v>
      </c>
      <c r="AW306" s="609">
        <f t="shared" si="100"/>
        <v>0</v>
      </c>
      <c r="AX306" s="603">
        <f t="shared" si="101"/>
        <v>0</v>
      </c>
      <c r="AY306" s="610">
        <f t="shared" si="102"/>
        <v>0</v>
      </c>
      <c r="AZ306" s="611">
        <f t="shared" si="103"/>
        <v>5044.2333333333336</v>
      </c>
      <c r="BA306" s="603">
        <f t="shared" si="104"/>
        <v>4651.7666666666664</v>
      </c>
    </row>
    <row r="307" spans="1:53">
      <c r="A307" s="380" t="s">
        <v>159</v>
      </c>
      <c r="B307" s="373" t="s">
        <v>737</v>
      </c>
      <c r="C307" s="492"/>
      <c r="D307" s="372">
        <v>198622</v>
      </c>
      <c r="E307" s="372">
        <v>8</v>
      </c>
      <c r="F307" s="296" t="s">
        <v>52</v>
      </c>
      <c r="G307" s="297" t="s">
        <v>52</v>
      </c>
      <c r="H307" s="298"/>
      <c r="I307" s="299"/>
      <c r="J307" s="298">
        <v>140188</v>
      </c>
      <c r="K307" s="299">
        <v>156501</v>
      </c>
      <c r="L307" s="298">
        <v>35269</v>
      </c>
      <c r="M307" s="299">
        <v>40673</v>
      </c>
      <c r="N307" s="298">
        <v>157990</v>
      </c>
      <c r="O307" s="299">
        <v>160149</v>
      </c>
      <c r="P307" s="601">
        <f t="shared" si="87"/>
        <v>333447</v>
      </c>
      <c r="Q307" s="602">
        <f t="shared" si="88"/>
        <v>11114.9</v>
      </c>
      <c r="R307" s="603">
        <f t="shared" si="89"/>
        <v>357323</v>
      </c>
      <c r="S307" s="604">
        <f t="shared" si="90"/>
        <v>11910.766666666666</v>
      </c>
      <c r="T307" s="298">
        <v>3428</v>
      </c>
      <c r="U307" s="299">
        <v>4099</v>
      </c>
      <c r="V307" s="601">
        <f t="shared" si="91"/>
        <v>333447</v>
      </c>
      <c r="W307" s="605">
        <f t="shared" si="92"/>
        <v>357323</v>
      </c>
      <c r="X307" s="305"/>
      <c r="Y307" s="299"/>
      <c r="Z307" s="298"/>
      <c r="AA307" s="299"/>
      <c r="AB307" s="298"/>
      <c r="AC307" s="299"/>
      <c r="AD307" s="298"/>
      <c r="AE307" s="299"/>
      <c r="AF307" s="601">
        <f t="shared" si="93"/>
        <v>0</v>
      </c>
      <c r="AG307" s="602">
        <f t="shared" si="94"/>
        <v>0</v>
      </c>
      <c r="AH307" s="603">
        <f t="shared" si="95"/>
        <v>0</v>
      </c>
      <c r="AI307" s="603">
        <f t="shared" si="96"/>
        <v>0</v>
      </c>
      <c r="AJ307" s="298"/>
      <c r="AK307" s="299"/>
      <c r="AL307" s="601">
        <f t="shared" si="97"/>
        <v>0</v>
      </c>
      <c r="AM307" s="604">
        <f t="shared" si="98"/>
        <v>0</v>
      </c>
      <c r="AN307" s="306"/>
      <c r="AO307" s="307"/>
      <c r="AP307" s="298"/>
      <c r="AQ307" s="307"/>
      <c r="AR307" s="298"/>
      <c r="AS307" s="307"/>
      <c r="AT307" s="298"/>
      <c r="AU307" s="307"/>
      <c r="AV307" s="601">
        <f t="shared" si="99"/>
        <v>0</v>
      </c>
      <c r="AW307" s="609">
        <f t="shared" si="100"/>
        <v>0</v>
      </c>
      <c r="AX307" s="603">
        <f t="shared" si="101"/>
        <v>0</v>
      </c>
      <c r="AY307" s="610">
        <f t="shared" si="102"/>
        <v>0</v>
      </c>
      <c r="AZ307" s="611">
        <f t="shared" si="103"/>
        <v>11114.9</v>
      </c>
      <c r="BA307" s="603">
        <f t="shared" si="104"/>
        <v>11910.766666666666</v>
      </c>
    </row>
    <row r="308" spans="1:53">
      <c r="A308" s="380" t="s">
        <v>159</v>
      </c>
      <c r="B308" s="373" t="s">
        <v>738</v>
      </c>
      <c r="C308" s="492"/>
      <c r="D308" s="372">
        <v>199333</v>
      </c>
      <c r="E308" s="372">
        <v>8</v>
      </c>
      <c r="F308" s="296" t="s">
        <v>52</v>
      </c>
      <c r="G308" s="297" t="s">
        <v>52</v>
      </c>
      <c r="H308" s="298"/>
      <c r="I308" s="299"/>
      <c r="J308" s="298">
        <v>76578</v>
      </c>
      <c r="K308" s="299">
        <v>84768</v>
      </c>
      <c r="L308" s="298">
        <v>26386</v>
      </c>
      <c r="M308" s="299">
        <v>28416</v>
      </c>
      <c r="N308" s="298">
        <v>85095</v>
      </c>
      <c r="O308" s="299">
        <v>85617</v>
      </c>
      <c r="P308" s="601">
        <f t="shared" si="87"/>
        <v>188059</v>
      </c>
      <c r="Q308" s="602">
        <f t="shared" si="88"/>
        <v>6268.6333333333332</v>
      </c>
      <c r="R308" s="603">
        <f t="shared" si="89"/>
        <v>198801</v>
      </c>
      <c r="S308" s="604">
        <f t="shared" si="90"/>
        <v>6626.7</v>
      </c>
      <c r="T308" s="298">
        <v>3832</v>
      </c>
      <c r="U308" s="299">
        <v>1906</v>
      </c>
      <c r="V308" s="601">
        <f t="shared" si="91"/>
        <v>188059</v>
      </c>
      <c r="W308" s="605">
        <f t="shared" si="92"/>
        <v>198801</v>
      </c>
      <c r="X308" s="305"/>
      <c r="Y308" s="299"/>
      <c r="Z308" s="298"/>
      <c r="AA308" s="299"/>
      <c r="AB308" s="298"/>
      <c r="AC308" s="299"/>
      <c r="AD308" s="298"/>
      <c r="AE308" s="299"/>
      <c r="AF308" s="601">
        <f t="shared" si="93"/>
        <v>0</v>
      </c>
      <c r="AG308" s="602">
        <f t="shared" si="94"/>
        <v>0</v>
      </c>
      <c r="AH308" s="603">
        <f t="shared" si="95"/>
        <v>0</v>
      </c>
      <c r="AI308" s="603">
        <f t="shared" si="96"/>
        <v>0</v>
      </c>
      <c r="AJ308" s="298"/>
      <c r="AK308" s="299"/>
      <c r="AL308" s="601">
        <f t="shared" si="97"/>
        <v>0</v>
      </c>
      <c r="AM308" s="604">
        <f t="shared" si="98"/>
        <v>0</v>
      </c>
      <c r="AN308" s="306"/>
      <c r="AO308" s="307"/>
      <c r="AP308" s="298"/>
      <c r="AQ308" s="307"/>
      <c r="AR308" s="298"/>
      <c r="AS308" s="307"/>
      <c r="AT308" s="298"/>
      <c r="AU308" s="307"/>
      <c r="AV308" s="601">
        <f t="shared" si="99"/>
        <v>0</v>
      </c>
      <c r="AW308" s="609">
        <f t="shared" si="100"/>
        <v>0</v>
      </c>
      <c r="AX308" s="603">
        <f t="shared" si="101"/>
        <v>0</v>
      </c>
      <c r="AY308" s="610">
        <f t="shared" si="102"/>
        <v>0</v>
      </c>
      <c r="AZ308" s="611">
        <f t="shared" si="103"/>
        <v>6268.6333333333332</v>
      </c>
      <c r="BA308" s="603">
        <f t="shared" si="104"/>
        <v>6626.7</v>
      </c>
    </row>
    <row r="309" spans="1:53">
      <c r="A309" s="380" t="s">
        <v>159</v>
      </c>
      <c r="B309" s="373" t="s">
        <v>739</v>
      </c>
      <c r="C309" s="492"/>
      <c r="D309" s="372">
        <v>199494</v>
      </c>
      <c r="E309" s="379">
        <v>8</v>
      </c>
      <c r="F309" s="296" t="s">
        <v>52</v>
      </c>
      <c r="G309" s="297" t="s">
        <v>52</v>
      </c>
      <c r="H309" s="298"/>
      <c r="I309" s="299"/>
      <c r="J309" s="298">
        <v>69916</v>
      </c>
      <c r="K309" s="299">
        <v>70803</v>
      </c>
      <c r="L309" s="298">
        <v>20985</v>
      </c>
      <c r="M309" s="299">
        <v>20290</v>
      </c>
      <c r="N309" s="298">
        <v>75362</v>
      </c>
      <c r="O309" s="299">
        <v>69939</v>
      </c>
      <c r="P309" s="601">
        <f t="shared" si="87"/>
        <v>166263</v>
      </c>
      <c r="Q309" s="602">
        <f t="shared" si="88"/>
        <v>5542.1</v>
      </c>
      <c r="R309" s="603">
        <f t="shared" si="89"/>
        <v>161032</v>
      </c>
      <c r="S309" s="604">
        <f t="shared" si="90"/>
        <v>5367.7333333333336</v>
      </c>
      <c r="T309" s="298">
        <v>4027</v>
      </c>
      <c r="U309" s="299">
        <v>5700</v>
      </c>
      <c r="V309" s="601">
        <f t="shared" si="91"/>
        <v>166263</v>
      </c>
      <c r="W309" s="605">
        <f t="shared" si="92"/>
        <v>161032</v>
      </c>
      <c r="X309" s="305"/>
      <c r="Y309" s="299"/>
      <c r="Z309" s="298"/>
      <c r="AA309" s="299"/>
      <c r="AB309" s="298"/>
      <c r="AC309" s="299"/>
      <c r="AD309" s="298"/>
      <c r="AE309" s="299"/>
      <c r="AF309" s="601">
        <f t="shared" si="93"/>
        <v>0</v>
      </c>
      <c r="AG309" s="602">
        <f t="shared" si="94"/>
        <v>0</v>
      </c>
      <c r="AH309" s="603">
        <f t="shared" si="95"/>
        <v>0</v>
      </c>
      <c r="AI309" s="603">
        <f t="shared" si="96"/>
        <v>0</v>
      </c>
      <c r="AJ309" s="298"/>
      <c r="AK309" s="299"/>
      <c r="AL309" s="601">
        <f t="shared" si="97"/>
        <v>0</v>
      </c>
      <c r="AM309" s="604">
        <f t="shared" si="98"/>
        <v>0</v>
      </c>
      <c r="AN309" s="306"/>
      <c r="AO309" s="307"/>
      <c r="AP309" s="298"/>
      <c r="AQ309" s="307"/>
      <c r="AR309" s="298"/>
      <c r="AS309" s="307"/>
      <c r="AT309" s="298"/>
      <c r="AU309" s="307"/>
      <c r="AV309" s="601">
        <f t="shared" si="99"/>
        <v>0</v>
      </c>
      <c r="AW309" s="609">
        <f t="shared" si="100"/>
        <v>0</v>
      </c>
      <c r="AX309" s="603">
        <f t="shared" si="101"/>
        <v>0</v>
      </c>
      <c r="AY309" s="610">
        <f t="shared" si="102"/>
        <v>0</v>
      </c>
      <c r="AZ309" s="611">
        <f t="shared" si="103"/>
        <v>5542.1</v>
      </c>
      <c r="BA309" s="603">
        <f t="shared" si="104"/>
        <v>5367.7333333333336</v>
      </c>
    </row>
    <row r="310" spans="1:53">
      <c r="A310" s="380" t="s">
        <v>159</v>
      </c>
      <c r="B310" s="373" t="s">
        <v>740</v>
      </c>
      <c r="C310" s="492"/>
      <c r="D310" s="372">
        <v>199856</v>
      </c>
      <c r="E310" s="372">
        <v>8</v>
      </c>
      <c r="F310" s="296" t="s">
        <v>52</v>
      </c>
      <c r="G310" s="297" t="s">
        <v>52</v>
      </c>
      <c r="H310" s="298"/>
      <c r="I310" s="299"/>
      <c r="J310" s="298">
        <v>146233</v>
      </c>
      <c r="K310" s="299">
        <v>166641</v>
      </c>
      <c r="L310" s="298">
        <v>33523</v>
      </c>
      <c r="M310" s="299">
        <v>36898</v>
      </c>
      <c r="N310" s="298">
        <v>168403</v>
      </c>
      <c r="O310" s="299">
        <v>179066</v>
      </c>
      <c r="P310" s="601">
        <f t="shared" si="87"/>
        <v>348159</v>
      </c>
      <c r="Q310" s="602">
        <f t="shared" si="88"/>
        <v>11605.3</v>
      </c>
      <c r="R310" s="603">
        <f t="shared" si="89"/>
        <v>382605</v>
      </c>
      <c r="S310" s="604">
        <f t="shared" si="90"/>
        <v>12753.5</v>
      </c>
      <c r="T310" s="298">
        <v>3885</v>
      </c>
      <c r="U310" s="299">
        <v>4379</v>
      </c>
      <c r="V310" s="601">
        <f t="shared" si="91"/>
        <v>348159</v>
      </c>
      <c r="W310" s="605">
        <f t="shared" si="92"/>
        <v>382605</v>
      </c>
      <c r="X310" s="305"/>
      <c r="Y310" s="299"/>
      <c r="Z310" s="298"/>
      <c r="AA310" s="299"/>
      <c r="AB310" s="298"/>
      <c r="AC310" s="299"/>
      <c r="AD310" s="298"/>
      <c r="AE310" s="299"/>
      <c r="AF310" s="601">
        <f t="shared" si="93"/>
        <v>0</v>
      </c>
      <c r="AG310" s="602">
        <f t="shared" si="94"/>
        <v>0</v>
      </c>
      <c r="AH310" s="603">
        <f t="shared" si="95"/>
        <v>0</v>
      </c>
      <c r="AI310" s="603">
        <f t="shared" si="96"/>
        <v>0</v>
      </c>
      <c r="AJ310" s="298"/>
      <c r="AK310" s="299"/>
      <c r="AL310" s="601">
        <f t="shared" si="97"/>
        <v>0</v>
      </c>
      <c r="AM310" s="604">
        <f t="shared" si="98"/>
        <v>0</v>
      </c>
      <c r="AN310" s="306"/>
      <c r="AO310" s="307"/>
      <c r="AP310" s="298"/>
      <c r="AQ310" s="307"/>
      <c r="AR310" s="298"/>
      <c r="AS310" s="307"/>
      <c r="AT310" s="298"/>
      <c r="AU310" s="307"/>
      <c r="AV310" s="601">
        <f t="shared" si="99"/>
        <v>0</v>
      </c>
      <c r="AW310" s="609">
        <f t="shared" si="100"/>
        <v>0</v>
      </c>
      <c r="AX310" s="603">
        <f t="shared" si="101"/>
        <v>0</v>
      </c>
      <c r="AY310" s="610">
        <f t="shared" si="102"/>
        <v>0</v>
      </c>
      <c r="AZ310" s="611">
        <f t="shared" si="103"/>
        <v>11605.3</v>
      </c>
      <c r="BA310" s="603">
        <f t="shared" si="104"/>
        <v>12753.5</v>
      </c>
    </row>
    <row r="311" spans="1:53">
      <c r="A311" s="380" t="s">
        <v>159</v>
      </c>
      <c r="B311" s="373" t="s">
        <v>741</v>
      </c>
      <c r="C311" s="492"/>
      <c r="D311" s="372">
        <v>199786</v>
      </c>
      <c r="E311" s="372">
        <v>9</v>
      </c>
      <c r="F311" s="296" t="s">
        <v>52</v>
      </c>
      <c r="G311" s="297" t="s">
        <v>52</v>
      </c>
      <c r="H311" s="298"/>
      <c r="I311" s="299"/>
      <c r="J311" s="298">
        <v>52037</v>
      </c>
      <c r="K311" s="299">
        <v>50548</v>
      </c>
      <c r="L311" s="298">
        <v>12400</v>
      </c>
      <c r="M311" s="299">
        <v>12143</v>
      </c>
      <c r="N311" s="298">
        <v>53057</v>
      </c>
      <c r="O311" s="299">
        <v>49610</v>
      </c>
      <c r="P311" s="601">
        <f t="shared" si="87"/>
        <v>117494</v>
      </c>
      <c r="Q311" s="602">
        <f t="shared" si="88"/>
        <v>3916.4666666666667</v>
      </c>
      <c r="R311" s="603">
        <f t="shared" si="89"/>
        <v>112301</v>
      </c>
      <c r="S311" s="604">
        <f t="shared" si="90"/>
        <v>3743.3666666666668</v>
      </c>
      <c r="T311" s="298">
        <v>5158</v>
      </c>
      <c r="U311" s="299">
        <v>4697</v>
      </c>
      <c r="V311" s="601">
        <f t="shared" si="91"/>
        <v>117494</v>
      </c>
      <c r="W311" s="605">
        <f t="shared" si="92"/>
        <v>112301</v>
      </c>
      <c r="X311" s="305"/>
      <c r="Y311" s="299"/>
      <c r="Z311" s="298"/>
      <c r="AA311" s="299"/>
      <c r="AB311" s="298"/>
      <c r="AC311" s="299"/>
      <c r="AD311" s="298"/>
      <c r="AE311" s="299"/>
      <c r="AF311" s="601">
        <f t="shared" si="93"/>
        <v>0</v>
      </c>
      <c r="AG311" s="602">
        <f t="shared" si="94"/>
        <v>0</v>
      </c>
      <c r="AH311" s="603">
        <f t="shared" si="95"/>
        <v>0</v>
      </c>
      <c r="AI311" s="603">
        <f t="shared" si="96"/>
        <v>0</v>
      </c>
      <c r="AJ311" s="298"/>
      <c r="AK311" s="299"/>
      <c r="AL311" s="601">
        <f t="shared" si="97"/>
        <v>0</v>
      </c>
      <c r="AM311" s="604">
        <f t="shared" si="98"/>
        <v>0</v>
      </c>
      <c r="AN311" s="306"/>
      <c r="AO311" s="307"/>
      <c r="AP311" s="298"/>
      <c r="AQ311" s="307"/>
      <c r="AR311" s="298"/>
      <c r="AS311" s="307"/>
      <c r="AT311" s="298"/>
      <c r="AU311" s="307"/>
      <c r="AV311" s="601">
        <f t="shared" si="99"/>
        <v>0</v>
      </c>
      <c r="AW311" s="609">
        <f t="shared" si="100"/>
        <v>0</v>
      </c>
      <c r="AX311" s="603">
        <f t="shared" si="101"/>
        <v>0</v>
      </c>
      <c r="AY311" s="610">
        <f t="shared" si="102"/>
        <v>0</v>
      </c>
      <c r="AZ311" s="611">
        <f t="shared" si="103"/>
        <v>3916.4666666666667</v>
      </c>
      <c r="BA311" s="603">
        <f t="shared" si="104"/>
        <v>3743.3666666666668</v>
      </c>
    </row>
    <row r="312" spans="1:53">
      <c r="A312" s="380" t="s">
        <v>159</v>
      </c>
      <c r="B312" s="373" t="s">
        <v>742</v>
      </c>
      <c r="C312" s="492"/>
      <c r="D312" s="372">
        <v>198118</v>
      </c>
      <c r="E312" s="372">
        <v>9</v>
      </c>
      <c r="F312" s="296" t="s">
        <v>52</v>
      </c>
      <c r="G312" s="297" t="s">
        <v>52</v>
      </c>
      <c r="H312" s="298"/>
      <c r="I312" s="299"/>
      <c r="J312" s="298">
        <v>46842</v>
      </c>
      <c r="K312" s="299">
        <v>46092</v>
      </c>
      <c r="L312" s="298">
        <v>12267</v>
      </c>
      <c r="M312" s="299">
        <v>11989</v>
      </c>
      <c r="N312" s="298">
        <v>48475</v>
      </c>
      <c r="O312" s="299">
        <v>48584</v>
      </c>
      <c r="P312" s="601">
        <f t="shared" si="87"/>
        <v>107584</v>
      </c>
      <c r="Q312" s="602">
        <f t="shared" si="88"/>
        <v>3586.1333333333332</v>
      </c>
      <c r="R312" s="603">
        <f t="shared" si="89"/>
        <v>106665</v>
      </c>
      <c r="S312" s="604">
        <f t="shared" si="90"/>
        <v>3555.5</v>
      </c>
      <c r="T312" s="298">
        <v>7903</v>
      </c>
      <c r="U312" s="299">
        <v>9167</v>
      </c>
      <c r="V312" s="601">
        <f t="shared" si="91"/>
        <v>107584</v>
      </c>
      <c r="W312" s="605">
        <f t="shared" si="92"/>
        <v>106665</v>
      </c>
      <c r="X312" s="305"/>
      <c r="Y312" s="299"/>
      <c r="Z312" s="298"/>
      <c r="AA312" s="299"/>
      <c r="AB312" s="298"/>
      <c r="AC312" s="299"/>
      <c r="AD312" s="298"/>
      <c r="AE312" s="299"/>
      <c r="AF312" s="601">
        <f t="shared" si="93"/>
        <v>0</v>
      </c>
      <c r="AG312" s="602">
        <f t="shared" si="94"/>
        <v>0</v>
      </c>
      <c r="AH312" s="603">
        <f t="shared" si="95"/>
        <v>0</v>
      </c>
      <c r="AI312" s="603">
        <f t="shared" si="96"/>
        <v>0</v>
      </c>
      <c r="AJ312" s="298"/>
      <c r="AK312" s="299"/>
      <c r="AL312" s="601">
        <f t="shared" si="97"/>
        <v>0</v>
      </c>
      <c r="AM312" s="604">
        <f t="shared" si="98"/>
        <v>0</v>
      </c>
      <c r="AN312" s="306"/>
      <c r="AO312" s="307"/>
      <c r="AP312" s="298"/>
      <c r="AQ312" s="307"/>
      <c r="AR312" s="298"/>
      <c r="AS312" s="307"/>
      <c r="AT312" s="298"/>
      <c r="AU312" s="307"/>
      <c r="AV312" s="601">
        <f t="shared" si="99"/>
        <v>0</v>
      </c>
      <c r="AW312" s="609">
        <f t="shared" si="100"/>
        <v>0</v>
      </c>
      <c r="AX312" s="603">
        <f t="shared" si="101"/>
        <v>0</v>
      </c>
      <c r="AY312" s="610">
        <f t="shared" si="102"/>
        <v>0</v>
      </c>
      <c r="AZ312" s="611">
        <f t="shared" si="103"/>
        <v>3586.1333333333332</v>
      </c>
      <c r="BA312" s="603">
        <f t="shared" si="104"/>
        <v>3555.5</v>
      </c>
    </row>
    <row r="313" spans="1:53">
      <c r="A313" s="380" t="s">
        <v>159</v>
      </c>
      <c r="B313" s="493" t="s">
        <v>743</v>
      </c>
      <c r="C313" s="492"/>
      <c r="D313" s="372">
        <v>198233</v>
      </c>
      <c r="E313" s="494">
        <v>9</v>
      </c>
      <c r="F313" s="296" t="s">
        <v>52</v>
      </c>
      <c r="G313" s="297" t="s">
        <v>52</v>
      </c>
      <c r="H313" s="298"/>
      <c r="I313" s="299"/>
      <c r="J313" s="298">
        <v>53475</v>
      </c>
      <c r="K313" s="299">
        <v>52101</v>
      </c>
      <c r="L313" s="298">
        <v>17691</v>
      </c>
      <c r="M313" s="299">
        <v>15020</v>
      </c>
      <c r="N313" s="298">
        <v>54707</v>
      </c>
      <c r="O313" s="299">
        <v>51367</v>
      </c>
      <c r="P313" s="601">
        <f t="shared" si="87"/>
        <v>125873</v>
      </c>
      <c r="Q313" s="602">
        <f t="shared" si="88"/>
        <v>4195.7666666666664</v>
      </c>
      <c r="R313" s="603">
        <f t="shared" si="89"/>
        <v>118488</v>
      </c>
      <c r="S313" s="604">
        <f t="shared" si="90"/>
        <v>3949.6</v>
      </c>
      <c r="T313" s="298">
        <v>7093</v>
      </c>
      <c r="U313" s="299">
        <v>7057</v>
      </c>
      <c r="V313" s="601">
        <f t="shared" si="91"/>
        <v>125873</v>
      </c>
      <c r="W313" s="605">
        <f t="shared" si="92"/>
        <v>118488</v>
      </c>
      <c r="X313" s="305"/>
      <c r="Y313" s="299"/>
      <c r="Z313" s="298"/>
      <c r="AA313" s="299"/>
      <c r="AB313" s="298"/>
      <c r="AC313" s="299"/>
      <c r="AD313" s="298"/>
      <c r="AE313" s="299"/>
      <c r="AF313" s="601">
        <f t="shared" si="93"/>
        <v>0</v>
      </c>
      <c r="AG313" s="602">
        <f t="shared" si="94"/>
        <v>0</v>
      </c>
      <c r="AH313" s="603">
        <f t="shared" si="95"/>
        <v>0</v>
      </c>
      <c r="AI313" s="603">
        <f t="shared" si="96"/>
        <v>0</v>
      </c>
      <c r="AJ313" s="298"/>
      <c r="AK313" s="299"/>
      <c r="AL313" s="601">
        <f t="shared" si="97"/>
        <v>0</v>
      </c>
      <c r="AM313" s="604">
        <f t="shared" si="98"/>
        <v>0</v>
      </c>
      <c r="AN313" s="306"/>
      <c r="AO313" s="307"/>
      <c r="AP313" s="298"/>
      <c r="AQ313" s="307"/>
      <c r="AR313" s="298"/>
      <c r="AS313" s="307"/>
      <c r="AT313" s="298"/>
      <c r="AU313" s="307"/>
      <c r="AV313" s="601">
        <f t="shared" si="99"/>
        <v>0</v>
      </c>
      <c r="AW313" s="609">
        <f t="shared" si="100"/>
        <v>0</v>
      </c>
      <c r="AX313" s="603">
        <f t="shared" si="101"/>
        <v>0</v>
      </c>
      <c r="AY313" s="610">
        <f t="shared" si="102"/>
        <v>0</v>
      </c>
      <c r="AZ313" s="611">
        <f t="shared" si="103"/>
        <v>4195.7666666666664</v>
      </c>
      <c r="BA313" s="603">
        <f t="shared" si="104"/>
        <v>3949.6</v>
      </c>
    </row>
    <row r="314" spans="1:53">
      <c r="A314" s="380" t="s">
        <v>159</v>
      </c>
      <c r="B314" s="493" t="s">
        <v>744</v>
      </c>
      <c r="C314" s="492"/>
      <c r="D314" s="372">
        <v>198251</v>
      </c>
      <c r="E314" s="494">
        <v>9</v>
      </c>
      <c r="F314" s="296" t="s">
        <v>52</v>
      </c>
      <c r="G314" s="297" t="s">
        <v>52</v>
      </c>
      <c r="H314" s="298"/>
      <c r="I314" s="299"/>
      <c r="J314" s="298">
        <v>46970</v>
      </c>
      <c r="K314" s="299">
        <v>44799</v>
      </c>
      <c r="L314" s="298">
        <v>8833</v>
      </c>
      <c r="M314" s="299">
        <v>8096</v>
      </c>
      <c r="N314" s="298">
        <v>48364</v>
      </c>
      <c r="O314" s="299">
        <v>43605</v>
      </c>
      <c r="P314" s="601">
        <f t="shared" si="87"/>
        <v>104167</v>
      </c>
      <c r="Q314" s="602">
        <f t="shared" si="88"/>
        <v>3472.2333333333331</v>
      </c>
      <c r="R314" s="603">
        <f t="shared" si="89"/>
        <v>96500</v>
      </c>
      <c r="S314" s="604">
        <f t="shared" si="90"/>
        <v>3216.6666666666665</v>
      </c>
      <c r="T314" s="298">
        <v>6991</v>
      </c>
      <c r="U314" s="299">
        <v>7198</v>
      </c>
      <c r="V314" s="601">
        <f t="shared" si="91"/>
        <v>104167</v>
      </c>
      <c r="W314" s="605">
        <f t="shared" si="92"/>
        <v>96500</v>
      </c>
      <c r="X314" s="305"/>
      <c r="Y314" s="299"/>
      <c r="Z314" s="298"/>
      <c r="AA314" s="299"/>
      <c r="AB314" s="298"/>
      <c r="AC314" s="299"/>
      <c r="AD314" s="298"/>
      <c r="AE314" s="299"/>
      <c r="AF314" s="601">
        <f t="shared" si="93"/>
        <v>0</v>
      </c>
      <c r="AG314" s="602">
        <f t="shared" si="94"/>
        <v>0</v>
      </c>
      <c r="AH314" s="603">
        <f t="shared" si="95"/>
        <v>0</v>
      </c>
      <c r="AI314" s="603">
        <f t="shared" si="96"/>
        <v>0</v>
      </c>
      <c r="AJ314" s="298"/>
      <c r="AK314" s="299"/>
      <c r="AL314" s="601">
        <f t="shared" si="97"/>
        <v>0</v>
      </c>
      <c r="AM314" s="604">
        <f t="shared" si="98"/>
        <v>0</v>
      </c>
      <c r="AN314" s="306"/>
      <c r="AO314" s="307"/>
      <c r="AP314" s="298"/>
      <c r="AQ314" s="307"/>
      <c r="AR314" s="298"/>
      <c r="AS314" s="307"/>
      <c r="AT314" s="298"/>
      <c r="AU314" s="307"/>
      <c r="AV314" s="601">
        <f t="shared" si="99"/>
        <v>0</v>
      </c>
      <c r="AW314" s="609">
        <f t="shared" si="100"/>
        <v>0</v>
      </c>
      <c r="AX314" s="603">
        <f t="shared" si="101"/>
        <v>0</v>
      </c>
      <c r="AY314" s="610">
        <f t="shared" si="102"/>
        <v>0</v>
      </c>
      <c r="AZ314" s="611">
        <f t="shared" si="103"/>
        <v>3472.2333333333331</v>
      </c>
      <c r="BA314" s="603">
        <f t="shared" si="104"/>
        <v>3216.6666666666665</v>
      </c>
    </row>
    <row r="315" spans="1:53">
      <c r="A315" s="380" t="s">
        <v>159</v>
      </c>
      <c r="B315" s="373" t="s">
        <v>745</v>
      </c>
      <c r="C315" s="492"/>
      <c r="D315" s="372">
        <v>198321</v>
      </c>
      <c r="E315" s="372">
        <v>9</v>
      </c>
      <c r="F315" s="296" t="s">
        <v>52</v>
      </c>
      <c r="G315" s="297" t="s">
        <v>52</v>
      </c>
      <c r="H315" s="298"/>
      <c r="I315" s="299"/>
      <c r="J315" s="298">
        <v>43416</v>
      </c>
      <c r="K315" s="299">
        <v>36088</v>
      </c>
      <c r="L315" s="298">
        <v>9303</v>
      </c>
      <c r="M315" s="299">
        <v>6284</v>
      </c>
      <c r="N315" s="298">
        <v>40440</v>
      </c>
      <c r="O315" s="299">
        <v>35825</v>
      </c>
      <c r="P315" s="601">
        <f t="shared" si="87"/>
        <v>93159</v>
      </c>
      <c r="Q315" s="602">
        <f t="shared" si="88"/>
        <v>3105.3</v>
      </c>
      <c r="R315" s="603">
        <f t="shared" si="89"/>
        <v>78197</v>
      </c>
      <c r="S315" s="604">
        <f t="shared" si="90"/>
        <v>2606.5666666666666</v>
      </c>
      <c r="T315" s="298">
        <v>13664</v>
      </c>
      <c r="U315" s="299">
        <v>9548</v>
      </c>
      <c r="V315" s="601">
        <f t="shared" si="91"/>
        <v>93159</v>
      </c>
      <c r="W315" s="605">
        <f t="shared" si="92"/>
        <v>78197</v>
      </c>
      <c r="X315" s="305"/>
      <c r="Y315" s="299"/>
      <c r="Z315" s="298"/>
      <c r="AA315" s="299"/>
      <c r="AB315" s="298"/>
      <c r="AC315" s="299"/>
      <c r="AD315" s="298"/>
      <c r="AE315" s="299"/>
      <c r="AF315" s="601">
        <f t="shared" si="93"/>
        <v>0</v>
      </c>
      <c r="AG315" s="602">
        <f t="shared" si="94"/>
        <v>0</v>
      </c>
      <c r="AH315" s="603">
        <f t="shared" si="95"/>
        <v>0</v>
      </c>
      <c r="AI315" s="603">
        <f t="shared" si="96"/>
        <v>0</v>
      </c>
      <c r="AJ315" s="298"/>
      <c r="AK315" s="299"/>
      <c r="AL315" s="601">
        <f t="shared" si="97"/>
        <v>0</v>
      </c>
      <c r="AM315" s="604">
        <f t="shared" si="98"/>
        <v>0</v>
      </c>
      <c r="AN315" s="306"/>
      <c r="AO315" s="307"/>
      <c r="AP315" s="298"/>
      <c r="AQ315" s="307"/>
      <c r="AR315" s="298"/>
      <c r="AS315" s="307"/>
      <c r="AT315" s="298"/>
      <c r="AU315" s="307"/>
      <c r="AV315" s="601">
        <f t="shared" si="99"/>
        <v>0</v>
      </c>
      <c r="AW315" s="609">
        <f t="shared" si="100"/>
        <v>0</v>
      </c>
      <c r="AX315" s="603">
        <f t="shared" si="101"/>
        <v>0</v>
      </c>
      <c r="AY315" s="610">
        <f t="shared" si="102"/>
        <v>0</v>
      </c>
      <c r="AZ315" s="611">
        <f t="shared" si="103"/>
        <v>3105.3</v>
      </c>
      <c r="BA315" s="603">
        <f t="shared" si="104"/>
        <v>2606.5666666666666</v>
      </c>
    </row>
    <row r="316" spans="1:53">
      <c r="A316" s="380" t="s">
        <v>159</v>
      </c>
      <c r="B316" s="378" t="s">
        <v>746</v>
      </c>
      <c r="C316" s="492"/>
      <c r="D316" s="372">
        <v>198330</v>
      </c>
      <c r="E316" s="372">
        <v>9</v>
      </c>
      <c r="F316" s="296" t="s">
        <v>52</v>
      </c>
      <c r="G316" s="297" t="s">
        <v>52</v>
      </c>
      <c r="H316" s="298"/>
      <c r="I316" s="299"/>
      <c r="J316" s="298">
        <v>46738</v>
      </c>
      <c r="K316" s="299">
        <v>46043</v>
      </c>
      <c r="L316" s="298">
        <v>20701</v>
      </c>
      <c r="M316" s="299">
        <v>18294</v>
      </c>
      <c r="N316" s="298">
        <v>48488</v>
      </c>
      <c r="O316" s="299">
        <v>45408</v>
      </c>
      <c r="P316" s="601">
        <f t="shared" si="87"/>
        <v>115927</v>
      </c>
      <c r="Q316" s="602">
        <f t="shared" si="88"/>
        <v>3864.2333333333331</v>
      </c>
      <c r="R316" s="603">
        <f t="shared" si="89"/>
        <v>109745</v>
      </c>
      <c r="S316" s="604">
        <f t="shared" si="90"/>
        <v>3658.1666666666665</v>
      </c>
      <c r="T316" s="298">
        <v>485</v>
      </c>
      <c r="U316" s="299">
        <v>485</v>
      </c>
      <c r="V316" s="601">
        <f t="shared" si="91"/>
        <v>115927</v>
      </c>
      <c r="W316" s="605">
        <f t="shared" si="92"/>
        <v>109745</v>
      </c>
      <c r="X316" s="305"/>
      <c r="Y316" s="299"/>
      <c r="Z316" s="298"/>
      <c r="AA316" s="299"/>
      <c r="AB316" s="298"/>
      <c r="AC316" s="299"/>
      <c r="AD316" s="298"/>
      <c r="AE316" s="299"/>
      <c r="AF316" s="601">
        <f t="shared" si="93"/>
        <v>0</v>
      </c>
      <c r="AG316" s="602">
        <f t="shared" si="94"/>
        <v>0</v>
      </c>
      <c r="AH316" s="603">
        <f t="shared" si="95"/>
        <v>0</v>
      </c>
      <c r="AI316" s="603">
        <f t="shared" si="96"/>
        <v>0</v>
      </c>
      <c r="AJ316" s="298"/>
      <c r="AK316" s="299"/>
      <c r="AL316" s="601">
        <f t="shared" si="97"/>
        <v>0</v>
      </c>
      <c r="AM316" s="604">
        <f t="shared" si="98"/>
        <v>0</v>
      </c>
      <c r="AN316" s="306"/>
      <c r="AO316" s="307"/>
      <c r="AP316" s="298"/>
      <c r="AQ316" s="307"/>
      <c r="AR316" s="298"/>
      <c r="AS316" s="307"/>
      <c r="AT316" s="298"/>
      <c r="AU316" s="307"/>
      <c r="AV316" s="601">
        <f t="shared" si="99"/>
        <v>0</v>
      </c>
      <c r="AW316" s="609">
        <f t="shared" si="100"/>
        <v>0</v>
      </c>
      <c r="AX316" s="603">
        <f t="shared" si="101"/>
        <v>0</v>
      </c>
      <c r="AY316" s="610">
        <f t="shared" si="102"/>
        <v>0</v>
      </c>
      <c r="AZ316" s="611">
        <f t="shared" si="103"/>
        <v>3864.2333333333331</v>
      </c>
      <c r="BA316" s="603">
        <f t="shared" si="104"/>
        <v>3658.1666666666665</v>
      </c>
    </row>
    <row r="317" spans="1:53">
      <c r="A317" s="380" t="s">
        <v>159</v>
      </c>
      <c r="B317" s="373" t="s">
        <v>747</v>
      </c>
      <c r="C317" s="492"/>
      <c r="D317" s="372">
        <v>198367</v>
      </c>
      <c r="E317" s="372">
        <v>9</v>
      </c>
      <c r="F317" s="296" t="s">
        <v>52</v>
      </c>
      <c r="G317" s="297" t="s">
        <v>52</v>
      </c>
      <c r="H317" s="298"/>
      <c r="I317" s="299"/>
      <c r="J317" s="298">
        <v>34169</v>
      </c>
      <c r="K317" s="299">
        <v>33937</v>
      </c>
      <c r="L317" s="298">
        <v>10880</v>
      </c>
      <c r="M317" s="299">
        <v>11016</v>
      </c>
      <c r="N317" s="298">
        <v>33781</v>
      </c>
      <c r="O317" s="299">
        <v>33761</v>
      </c>
      <c r="P317" s="601">
        <f t="shared" si="87"/>
        <v>78830</v>
      </c>
      <c r="Q317" s="602">
        <f t="shared" si="88"/>
        <v>2627.6666666666665</v>
      </c>
      <c r="R317" s="603">
        <f t="shared" si="89"/>
        <v>78714</v>
      </c>
      <c r="S317" s="604">
        <f t="shared" si="90"/>
        <v>2623.8</v>
      </c>
      <c r="T317" s="298">
        <v>3602</v>
      </c>
      <c r="U317" s="299">
        <v>3973</v>
      </c>
      <c r="V317" s="601">
        <f t="shared" si="91"/>
        <v>78830</v>
      </c>
      <c r="W317" s="605">
        <f t="shared" si="92"/>
        <v>78714</v>
      </c>
      <c r="X317" s="305"/>
      <c r="Y317" s="299"/>
      <c r="Z317" s="298"/>
      <c r="AA317" s="299"/>
      <c r="AB317" s="298"/>
      <c r="AC317" s="299"/>
      <c r="AD317" s="298"/>
      <c r="AE317" s="299"/>
      <c r="AF317" s="601">
        <f t="shared" si="93"/>
        <v>0</v>
      </c>
      <c r="AG317" s="602">
        <f t="shared" si="94"/>
        <v>0</v>
      </c>
      <c r="AH317" s="603">
        <f t="shared" si="95"/>
        <v>0</v>
      </c>
      <c r="AI317" s="603">
        <f t="shared" si="96"/>
        <v>0</v>
      </c>
      <c r="AJ317" s="298"/>
      <c r="AK317" s="299"/>
      <c r="AL317" s="601">
        <f t="shared" si="97"/>
        <v>0</v>
      </c>
      <c r="AM317" s="604">
        <f t="shared" si="98"/>
        <v>0</v>
      </c>
      <c r="AN317" s="306"/>
      <c r="AO317" s="307"/>
      <c r="AP317" s="298"/>
      <c r="AQ317" s="307"/>
      <c r="AR317" s="298"/>
      <c r="AS317" s="307"/>
      <c r="AT317" s="298"/>
      <c r="AU317" s="307"/>
      <c r="AV317" s="601">
        <f t="shared" si="99"/>
        <v>0</v>
      </c>
      <c r="AW317" s="609">
        <f t="shared" si="100"/>
        <v>0</v>
      </c>
      <c r="AX317" s="603">
        <f t="shared" si="101"/>
        <v>0</v>
      </c>
      <c r="AY317" s="610">
        <f t="shared" si="102"/>
        <v>0</v>
      </c>
      <c r="AZ317" s="611">
        <f t="shared" si="103"/>
        <v>2627.6666666666665</v>
      </c>
      <c r="BA317" s="603">
        <f t="shared" si="104"/>
        <v>2623.8</v>
      </c>
    </row>
    <row r="318" spans="1:53">
      <c r="A318" s="380" t="s">
        <v>159</v>
      </c>
      <c r="B318" s="373" t="s">
        <v>748</v>
      </c>
      <c r="C318" s="492"/>
      <c r="D318" s="372">
        <v>198376</v>
      </c>
      <c r="E318" s="372">
        <v>9</v>
      </c>
      <c r="F318" s="296" t="s">
        <v>52</v>
      </c>
      <c r="G318" s="297" t="s">
        <v>52</v>
      </c>
      <c r="H318" s="298"/>
      <c r="I318" s="299"/>
      <c r="J318" s="298">
        <v>40297</v>
      </c>
      <c r="K318" s="299">
        <v>42222</v>
      </c>
      <c r="L318" s="298">
        <v>11417</v>
      </c>
      <c r="M318" s="299">
        <v>12076</v>
      </c>
      <c r="N318" s="298">
        <v>44297</v>
      </c>
      <c r="O318" s="299">
        <v>42852</v>
      </c>
      <c r="P318" s="601">
        <f t="shared" si="87"/>
        <v>96011</v>
      </c>
      <c r="Q318" s="602">
        <f t="shared" si="88"/>
        <v>3200.3666666666668</v>
      </c>
      <c r="R318" s="603">
        <f t="shared" si="89"/>
        <v>97150</v>
      </c>
      <c r="S318" s="604">
        <f t="shared" si="90"/>
        <v>3238.3333333333335</v>
      </c>
      <c r="T318" s="298">
        <v>6479</v>
      </c>
      <c r="U318" s="299">
        <v>5607</v>
      </c>
      <c r="V318" s="601">
        <f t="shared" si="91"/>
        <v>96011</v>
      </c>
      <c r="W318" s="605">
        <f t="shared" si="92"/>
        <v>97150</v>
      </c>
      <c r="X318" s="305"/>
      <c r="Y318" s="299"/>
      <c r="Z318" s="298"/>
      <c r="AA318" s="299"/>
      <c r="AB318" s="298"/>
      <c r="AC318" s="299"/>
      <c r="AD318" s="298"/>
      <c r="AE318" s="299"/>
      <c r="AF318" s="601">
        <f t="shared" si="93"/>
        <v>0</v>
      </c>
      <c r="AG318" s="602">
        <f t="shared" si="94"/>
        <v>0</v>
      </c>
      <c r="AH318" s="603">
        <f t="shared" si="95"/>
        <v>0</v>
      </c>
      <c r="AI318" s="603">
        <f t="shared" si="96"/>
        <v>0</v>
      </c>
      <c r="AJ318" s="298"/>
      <c r="AK318" s="299"/>
      <c r="AL318" s="601">
        <f t="shared" si="97"/>
        <v>0</v>
      </c>
      <c r="AM318" s="604">
        <f t="shared" si="98"/>
        <v>0</v>
      </c>
      <c r="AN318" s="306"/>
      <c r="AO318" s="307"/>
      <c r="AP318" s="298"/>
      <c r="AQ318" s="307"/>
      <c r="AR318" s="298"/>
      <c r="AS318" s="307"/>
      <c r="AT318" s="298"/>
      <c r="AU318" s="307"/>
      <c r="AV318" s="601">
        <f t="shared" si="99"/>
        <v>0</v>
      </c>
      <c r="AW318" s="609">
        <f t="shared" si="100"/>
        <v>0</v>
      </c>
      <c r="AX318" s="603">
        <f t="shared" si="101"/>
        <v>0</v>
      </c>
      <c r="AY318" s="610">
        <f t="shared" si="102"/>
        <v>0</v>
      </c>
      <c r="AZ318" s="611">
        <f t="shared" si="103"/>
        <v>3200.3666666666668</v>
      </c>
      <c r="BA318" s="603">
        <f t="shared" si="104"/>
        <v>3238.3333333333335</v>
      </c>
    </row>
    <row r="319" spans="1:53">
      <c r="A319" s="380" t="s">
        <v>159</v>
      </c>
      <c r="B319" s="493" t="s">
        <v>749</v>
      </c>
      <c r="C319" s="492"/>
      <c r="D319" s="372">
        <v>198455</v>
      </c>
      <c r="E319" s="494">
        <v>9</v>
      </c>
      <c r="F319" s="296" t="s">
        <v>52</v>
      </c>
      <c r="G319" s="297" t="s">
        <v>52</v>
      </c>
      <c r="H319" s="298"/>
      <c r="I319" s="299"/>
      <c r="J319" s="298">
        <v>45379</v>
      </c>
      <c r="K319" s="299">
        <v>48982</v>
      </c>
      <c r="L319" s="298">
        <v>11684</v>
      </c>
      <c r="M319" s="299">
        <v>11736</v>
      </c>
      <c r="N319" s="298">
        <v>48231</v>
      </c>
      <c r="O319" s="299">
        <v>44515</v>
      </c>
      <c r="P319" s="601">
        <f t="shared" si="87"/>
        <v>105294</v>
      </c>
      <c r="Q319" s="602">
        <f t="shared" si="88"/>
        <v>3509.8</v>
      </c>
      <c r="R319" s="603">
        <f t="shared" si="89"/>
        <v>105233</v>
      </c>
      <c r="S319" s="604">
        <f t="shared" si="90"/>
        <v>3507.7666666666669</v>
      </c>
      <c r="T319" s="298">
        <v>2508</v>
      </c>
      <c r="U319" s="299">
        <v>2515</v>
      </c>
      <c r="V319" s="601">
        <f t="shared" si="91"/>
        <v>105294</v>
      </c>
      <c r="W319" s="605">
        <f t="shared" si="92"/>
        <v>105233</v>
      </c>
      <c r="X319" s="305"/>
      <c r="Y319" s="299"/>
      <c r="Z319" s="298"/>
      <c r="AA319" s="299"/>
      <c r="AB319" s="298"/>
      <c r="AC319" s="299"/>
      <c r="AD319" s="298"/>
      <c r="AE319" s="299"/>
      <c r="AF319" s="601">
        <f t="shared" si="93"/>
        <v>0</v>
      </c>
      <c r="AG319" s="602">
        <f t="shared" si="94"/>
        <v>0</v>
      </c>
      <c r="AH319" s="603">
        <f t="shared" si="95"/>
        <v>0</v>
      </c>
      <c r="AI319" s="603">
        <f t="shared" si="96"/>
        <v>0</v>
      </c>
      <c r="AJ319" s="298"/>
      <c r="AK319" s="299"/>
      <c r="AL319" s="601">
        <f t="shared" si="97"/>
        <v>0</v>
      </c>
      <c r="AM319" s="604">
        <f t="shared" si="98"/>
        <v>0</v>
      </c>
      <c r="AN319" s="306"/>
      <c r="AO319" s="307"/>
      <c r="AP319" s="298"/>
      <c r="AQ319" s="307"/>
      <c r="AR319" s="298"/>
      <c r="AS319" s="307"/>
      <c r="AT319" s="298"/>
      <c r="AU319" s="307"/>
      <c r="AV319" s="601">
        <f t="shared" si="99"/>
        <v>0</v>
      </c>
      <c r="AW319" s="609">
        <f t="shared" si="100"/>
        <v>0</v>
      </c>
      <c r="AX319" s="603">
        <f t="shared" si="101"/>
        <v>0</v>
      </c>
      <c r="AY319" s="610">
        <f t="shared" si="102"/>
        <v>0</v>
      </c>
      <c r="AZ319" s="611">
        <f t="shared" si="103"/>
        <v>3509.8</v>
      </c>
      <c r="BA319" s="603">
        <f t="shared" si="104"/>
        <v>3507.7666666666669</v>
      </c>
    </row>
    <row r="320" spans="1:53">
      <c r="A320" s="380" t="s">
        <v>159</v>
      </c>
      <c r="B320" s="373" t="s">
        <v>750</v>
      </c>
      <c r="C320" s="492"/>
      <c r="D320" s="372">
        <v>198491</v>
      </c>
      <c r="E320" s="372">
        <v>9</v>
      </c>
      <c r="F320" s="296" t="s">
        <v>52</v>
      </c>
      <c r="G320" s="297" t="s">
        <v>52</v>
      </c>
      <c r="H320" s="298"/>
      <c r="I320" s="299"/>
      <c r="J320" s="298">
        <v>31589</v>
      </c>
      <c r="K320" s="299">
        <v>32378</v>
      </c>
      <c r="L320" s="298">
        <v>9479</v>
      </c>
      <c r="M320" s="299">
        <v>9327</v>
      </c>
      <c r="N320" s="298">
        <v>34423</v>
      </c>
      <c r="O320" s="299">
        <v>32228</v>
      </c>
      <c r="P320" s="601">
        <f t="shared" si="87"/>
        <v>75491</v>
      </c>
      <c r="Q320" s="602">
        <f t="shared" si="88"/>
        <v>2516.3666666666668</v>
      </c>
      <c r="R320" s="603">
        <f t="shared" si="89"/>
        <v>73933</v>
      </c>
      <c r="S320" s="604">
        <f t="shared" si="90"/>
        <v>2464.4333333333334</v>
      </c>
      <c r="T320" s="298">
        <v>2952</v>
      </c>
      <c r="U320" s="299">
        <v>2422</v>
      </c>
      <c r="V320" s="601">
        <f t="shared" si="91"/>
        <v>75491</v>
      </c>
      <c r="W320" s="605">
        <f t="shared" si="92"/>
        <v>73933</v>
      </c>
      <c r="X320" s="305"/>
      <c r="Y320" s="299"/>
      <c r="Z320" s="298"/>
      <c r="AA320" s="299"/>
      <c r="AB320" s="298"/>
      <c r="AC320" s="299"/>
      <c r="AD320" s="298"/>
      <c r="AE320" s="299"/>
      <c r="AF320" s="601">
        <f t="shared" si="93"/>
        <v>0</v>
      </c>
      <c r="AG320" s="602">
        <f t="shared" si="94"/>
        <v>0</v>
      </c>
      <c r="AH320" s="603">
        <f t="shared" si="95"/>
        <v>0</v>
      </c>
      <c r="AI320" s="603">
        <f t="shared" si="96"/>
        <v>0</v>
      </c>
      <c r="AJ320" s="298"/>
      <c r="AK320" s="299"/>
      <c r="AL320" s="601">
        <f t="shared" si="97"/>
        <v>0</v>
      </c>
      <c r="AM320" s="604">
        <f t="shared" si="98"/>
        <v>0</v>
      </c>
      <c r="AN320" s="306"/>
      <c r="AO320" s="307"/>
      <c r="AP320" s="298"/>
      <c r="AQ320" s="307"/>
      <c r="AR320" s="298"/>
      <c r="AS320" s="307"/>
      <c r="AT320" s="298"/>
      <c r="AU320" s="307"/>
      <c r="AV320" s="601">
        <f t="shared" si="99"/>
        <v>0</v>
      </c>
      <c r="AW320" s="609">
        <f t="shared" si="100"/>
        <v>0</v>
      </c>
      <c r="AX320" s="603">
        <f t="shared" si="101"/>
        <v>0</v>
      </c>
      <c r="AY320" s="610">
        <f t="shared" si="102"/>
        <v>0</v>
      </c>
      <c r="AZ320" s="611">
        <f t="shared" si="103"/>
        <v>2516.3666666666668</v>
      </c>
      <c r="BA320" s="603">
        <f t="shared" si="104"/>
        <v>2464.4333333333334</v>
      </c>
    </row>
    <row r="321" spans="1:53">
      <c r="A321" s="380" t="s">
        <v>159</v>
      </c>
      <c r="B321" s="373" t="s">
        <v>751</v>
      </c>
      <c r="C321" s="492" t="s">
        <v>790</v>
      </c>
      <c r="D321" s="372">
        <v>198668</v>
      </c>
      <c r="E321" s="372">
        <v>9</v>
      </c>
      <c r="F321" s="296" t="s">
        <v>52</v>
      </c>
      <c r="G321" s="297" t="s">
        <v>52</v>
      </c>
      <c r="H321" s="298"/>
      <c r="I321" s="299"/>
      <c r="J321" s="298">
        <v>20306</v>
      </c>
      <c r="K321" s="299">
        <v>20543</v>
      </c>
      <c r="L321" s="298">
        <v>6422</v>
      </c>
      <c r="M321" s="299">
        <v>5896</v>
      </c>
      <c r="N321" s="298">
        <v>22782</v>
      </c>
      <c r="O321" s="299">
        <v>21929</v>
      </c>
      <c r="P321" s="601">
        <f t="shared" si="87"/>
        <v>49510</v>
      </c>
      <c r="Q321" s="602">
        <f t="shared" si="88"/>
        <v>1650.3333333333333</v>
      </c>
      <c r="R321" s="603">
        <f t="shared" si="89"/>
        <v>48368</v>
      </c>
      <c r="S321" s="604">
        <f t="shared" si="90"/>
        <v>1612.2666666666667</v>
      </c>
      <c r="T321" s="298">
        <v>6245</v>
      </c>
      <c r="U321" s="299">
        <v>5618</v>
      </c>
      <c r="V321" s="601">
        <f t="shared" si="91"/>
        <v>49510</v>
      </c>
      <c r="W321" s="605">
        <f t="shared" si="92"/>
        <v>48368</v>
      </c>
      <c r="X321" s="305"/>
      <c r="Y321" s="299"/>
      <c r="Z321" s="298"/>
      <c r="AA321" s="299"/>
      <c r="AB321" s="298"/>
      <c r="AC321" s="299"/>
      <c r="AD321" s="298"/>
      <c r="AE321" s="299"/>
      <c r="AF321" s="601">
        <f t="shared" si="93"/>
        <v>0</v>
      </c>
      <c r="AG321" s="602">
        <f t="shared" si="94"/>
        <v>0</v>
      </c>
      <c r="AH321" s="603">
        <f t="shared" si="95"/>
        <v>0</v>
      </c>
      <c r="AI321" s="603">
        <f t="shared" si="96"/>
        <v>0</v>
      </c>
      <c r="AJ321" s="298"/>
      <c r="AK321" s="299"/>
      <c r="AL321" s="601">
        <f t="shared" si="97"/>
        <v>0</v>
      </c>
      <c r="AM321" s="604">
        <f t="shared" si="98"/>
        <v>0</v>
      </c>
      <c r="AN321" s="306"/>
      <c r="AO321" s="307"/>
      <c r="AP321" s="298"/>
      <c r="AQ321" s="307"/>
      <c r="AR321" s="298"/>
      <c r="AS321" s="307"/>
      <c r="AT321" s="298"/>
      <c r="AU321" s="307"/>
      <c r="AV321" s="601">
        <f t="shared" si="99"/>
        <v>0</v>
      </c>
      <c r="AW321" s="609">
        <f t="shared" si="100"/>
        <v>0</v>
      </c>
      <c r="AX321" s="603">
        <f t="shared" si="101"/>
        <v>0</v>
      </c>
      <c r="AY321" s="610">
        <f t="shared" si="102"/>
        <v>0</v>
      </c>
      <c r="AZ321" s="611">
        <f t="shared" si="103"/>
        <v>1650.3333333333333</v>
      </c>
      <c r="BA321" s="603">
        <f t="shared" si="104"/>
        <v>1612.2666666666667</v>
      </c>
    </row>
    <row r="322" spans="1:53">
      <c r="A322" s="380" t="s">
        <v>159</v>
      </c>
      <c r="B322" s="373" t="s">
        <v>752</v>
      </c>
      <c r="C322" s="492"/>
      <c r="D322" s="372">
        <v>198710</v>
      </c>
      <c r="E322" s="372">
        <v>9</v>
      </c>
      <c r="F322" s="296" t="s">
        <v>52</v>
      </c>
      <c r="G322" s="297" t="s">
        <v>52</v>
      </c>
      <c r="H322" s="298"/>
      <c r="I322" s="299"/>
      <c r="J322" s="298">
        <v>28731</v>
      </c>
      <c r="K322" s="299">
        <v>27516</v>
      </c>
      <c r="L322" s="298">
        <v>9412</v>
      </c>
      <c r="M322" s="299">
        <v>8611</v>
      </c>
      <c r="N322" s="298">
        <v>28271</v>
      </c>
      <c r="O322" s="299">
        <v>24437</v>
      </c>
      <c r="P322" s="601">
        <f t="shared" si="87"/>
        <v>66414</v>
      </c>
      <c r="Q322" s="602">
        <f t="shared" si="88"/>
        <v>2213.8000000000002</v>
      </c>
      <c r="R322" s="603">
        <f t="shared" si="89"/>
        <v>60564</v>
      </c>
      <c r="S322" s="604">
        <f t="shared" si="90"/>
        <v>2018.8</v>
      </c>
      <c r="T322" s="298">
        <v>8277</v>
      </c>
      <c r="U322" s="299">
        <v>7068</v>
      </c>
      <c r="V322" s="601">
        <f t="shared" si="91"/>
        <v>66414</v>
      </c>
      <c r="W322" s="605">
        <f t="shared" si="92"/>
        <v>60564</v>
      </c>
      <c r="X322" s="305"/>
      <c r="Y322" s="299"/>
      <c r="Z322" s="298"/>
      <c r="AA322" s="299"/>
      <c r="AB322" s="298"/>
      <c r="AC322" s="299"/>
      <c r="AD322" s="298"/>
      <c r="AE322" s="299"/>
      <c r="AF322" s="601">
        <f t="shared" si="93"/>
        <v>0</v>
      </c>
      <c r="AG322" s="602">
        <f t="shared" si="94"/>
        <v>0</v>
      </c>
      <c r="AH322" s="603">
        <f t="shared" si="95"/>
        <v>0</v>
      </c>
      <c r="AI322" s="603">
        <f t="shared" si="96"/>
        <v>0</v>
      </c>
      <c r="AJ322" s="298"/>
      <c r="AK322" s="299"/>
      <c r="AL322" s="601">
        <f t="shared" si="97"/>
        <v>0</v>
      </c>
      <c r="AM322" s="604">
        <f t="shared" si="98"/>
        <v>0</v>
      </c>
      <c r="AN322" s="306"/>
      <c r="AO322" s="307"/>
      <c r="AP322" s="298"/>
      <c r="AQ322" s="307"/>
      <c r="AR322" s="298"/>
      <c r="AS322" s="307"/>
      <c r="AT322" s="298"/>
      <c r="AU322" s="307"/>
      <c r="AV322" s="601">
        <f t="shared" si="99"/>
        <v>0</v>
      </c>
      <c r="AW322" s="609">
        <f t="shared" si="100"/>
        <v>0</v>
      </c>
      <c r="AX322" s="603">
        <f t="shared" si="101"/>
        <v>0</v>
      </c>
      <c r="AY322" s="610">
        <f t="shared" si="102"/>
        <v>0</v>
      </c>
      <c r="AZ322" s="611">
        <f t="shared" si="103"/>
        <v>2213.8000000000002</v>
      </c>
      <c r="BA322" s="603">
        <f t="shared" si="104"/>
        <v>2018.8</v>
      </c>
    </row>
    <row r="323" spans="1:53">
      <c r="A323" s="380" t="s">
        <v>159</v>
      </c>
      <c r="B323" s="373" t="s">
        <v>753</v>
      </c>
      <c r="C323" s="492"/>
      <c r="D323" s="372">
        <v>198774</v>
      </c>
      <c r="E323" s="372">
        <v>9</v>
      </c>
      <c r="F323" s="296" t="s">
        <v>52</v>
      </c>
      <c r="G323" s="297" t="s">
        <v>52</v>
      </c>
      <c r="H323" s="298"/>
      <c r="I323" s="299"/>
      <c r="J323" s="298">
        <v>43799</v>
      </c>
      <c r="K323" s="299">
        <v>44317</v>
      </c>
      <c r="L323" s="298">
        <v>2390</v>
      </c>
      <c r="M323" s="299">
        <v>1515</v>
      </c>
      <c r="N323" s="298">
        <v>45852</v>
      </c>
      <c r="O323" s="299">
        <v>46752</v>
      </c>
      <c r="P323" s="601">
        <f t="shared" si="87"/>
        <v>92041</v>
      </c>
      <c r="Q323" s="602">
        <f t="shared" si="88"/>
        <v>3068.0333333333333</v>
      </c>
      <c r="R323" s="603">
        <f t="shared" si="89"/>
        <v>92584</v>
      </c>
      <c r="S323" s="604">
        <f t="shared" si="90"/>
        <v>3086.1333333333332</v>
      </c>
      <c r="T323" s="298">
        <v>6600</v>
      </c>
      <c r="U323" s="299">
        <v>5883</v>
      </c>
      <c r="V323" s="601">
        <f t="shared" si="91"/>
        <v>92041</v>
      </c>
      <c r="W323" s="605">
        <f t="shared" si="92"/>
        <v>92584</v>
      </c>
      <c r="X323" s="305"/>
      <c r="Y323" s="299"/>
      <c r="Z323" s="298"/>
      <c r="AA323" s="299"/>
      <c r="AB323" s="298"/>
      <c r="AC323" s="299"/>
      <c r="AD323" s="298"/>
      <c r="AE323" s="299"/>
      <c r="AF323" s="601">
        <f t="shared" si="93"/>
        <v>0</v>
      </c>
      <c r="AG323" s="602">
        <f t="shared" si="94"/>
        <v>0</v>
      </c>
      <c r="AH323" s="603">
        <f t="shared" si="95"/>
        <v>0</v>
      </c>
      <c r="AI323" s="603">
        <f t="shared" si="96"/>
        <v>0</v>
      </c>
      <c r="AJ323" s="298"/>
      <c r="AK323" s="299"/>
      <c r="AL323" s="601">
        <f t="shared" si="97"/>
        <v>0</v>
      </c>
      <c r="AM323" s="604">
        <f t="shared" si="98"/>
        <v>0</v>
      </c>
      <c r="AN323" s="306"/>
      <c r="AO323" s="307"/>
      <c r="AP323" s="298"/>
      <c r="AQ323" s="307"/>
      <c r="AR323" s="298"/>
      <c r="AS323" s="307"/>
      <c r="AT323" s="298"/>
      <c r="AU323" s="307"/>
      <c r="AV323" s="601">
        <f t="shared" si="99"/>
        <v>0</v>
      </c>
      <c r="AW323" s="609">
        <f t="shared" si="100"/>
        <v>0</v>
      </c>
      <c r="AX323" s="603">
        <f t="shared" si="101"/>
        <v>0</v>
      </c>
      <c r="AY323" s="610">
        <f t="shared" si="102"/>
        <v>0</v>
      </c>
      <c r="AZ323" s="611">
        <f t="shared" si="103"/>
        <v>3068.0333333333333</v>
      </c>
      <c r="BA323" s="603">
        <f t="shared" si="104"/>
        <v>3086.1333333333332</v>
      </c>
    </row>
    <row r="324" spans="1:53">
      <c r="A324" s="380" t="s">
        <v>159</v>
      </c>
      <c r="B324" s="373" t="s">
        <v>754</v>
      </c>
      <c r="C324" s="492"/>
      <c r="D324" s="372">
        <v>198817</v>
      </c>
      <c r="E324" s="372">
        <v>9</v>
      </c>
      <c r="F324" s="296" t="s">
        <v>52</v>
      </c>
      <c r="G324" s="297" t="s">
        <v>52</v>
      </c>
      <c r="H324" s="298"/>
      <c r="I324" s="299"/>
      <c r="J324" s="298">
        <v>35050</v>
      </c>
      <c r="K324" s="299">
        <v>33676</v>
      </c>
      <c r="L324" s="298">
        <v>11623</v>
      </c>
      <c r="M324" s="299">
        <v>10881</v>
      </c>
      <c r="N324" s="298">
        <v>35088</v>
      </c>
      <c r="O324" s="299">
        <v>32682</v>
      </c>
      <c r="P324" s="601">
        <f t="shared" si="87"/>
        <v>81761</v>
      </c>
      <c r="Q324" s="602">
        <f t="shared" si="88"/>
        <v>2725.3666666666668</v>
      </c>
      <c r="R324" s="603">
        <f t="shared" si="89"/>
        <v>77239</v>
      </c>
      <c r="S324" s="604">
        <f t="shared" si="90"/>
        <v>2574.6333333333332</v>
      </c>
      <c r="T324" s="298">
        <v>7245</v>
      </c>
      <c r="U324" s="299">
        <v>8738</v>
      </c>
      <c r="V324" s="601">
        <f t="shared" si="91"/>
        <v>81761</v>
      </c>
      <c r="W324" s="605">
        <f t="shared" si="92"/>
        <v>77239</v>
      </c>
      <c r="X324" s="305"/>
      <c r="Y324" s="299"/>
      <c r="Z324" s="298"/>
      <c r="AA324" s="299"/>
      <c r="AB324" s="298"/>
      <c r="AC324" s="299"/>
      <c r="AD324" s="298"/>
      <c r="AE324" s="299"/>
      <c r="AF324" s="601">
        <f t="shared" si="93"/>
        <v>0</v>
      </c>
      <c r="AG324" s="602">
        <f t="shared" si="94"/>
        <v>0</v>
      </c>
      <c r="AH324" s="603">
        <f t="shared" si="95"/>
        <v>0</v>
      </c>
      <c r="AI324" s="603">
        <f t="shared" si="96"/>
        <v>0</v>
      </c>
      <c r="AJ324" s="298"/>
      <c r="AK324" s="299"/>
      <c r="AL324" s="601">
        <f t="shared" si="97"/>
        <v>0</v>
      </c>
      <c r="AM324" s="604">
        <f t="shared" si="98"/>
        <v>0</v>
      </c>
      <c r="AN324" s="306"/>
      <c r="AO324" s="307"/>
      <c r="AP324" s="298"/>
      <c r="AQ324" s="307"/>
      <c r="AR324" s="298"/>
      <c r="AS324" s="307"/>
      <c r="AT324" s="298"/>
      <c r="AU324" s="307"/>
      <c r="AV324" s="601">
        <f t="shared" si="99"/>
        <v>0</v>
      </c>
      <c r="AW324" s="609">
        <f t="shared" si="100"/>
        <v>0</v>
      </c>
      <c r="AX324" s="603">
        <f t="shared" si="101"/>
        <v>0</v>
      </c>
      <c r="AY324" s="610">
        <f t="shared" si="102"/>
        <v>0</v>
      </c>
      <c r="AZ324" s="611">
        <f t="shared" si="103"/>
        <v>2725.3666666666668</v>
      </c>
      <c r="BA324" s="603">
        <f t="shared" si="104"/>
        <v>2574.6333333333332</v>
      </c>
    </row>
    <row r="325" spans="1:53">
      <c r="A325" s="380" t="s">
        <v>159</v>
      </c>
      <c r="B325" s="373" t="s">
        <v>755</v>
      </c>
      <c r="C325" s="492"/>
      <c r="D325" s="372">
        <v>198987</v>
      </c>
      <c r="E325" s="372">
        <v>9</v>
      </c>
      <c r="F325" s="296" t="s">
        <v>52</v>
      </c>
      <c r="G325" s="297" t="s">
        <v>52</v>
      </c>
      <c r="H325" s="298"/>
      <c r="I325" s="299"/>
      <c r="J325" s="298">
        <v>33493</v>
      </c>
      <c r="K325" s="299">
        <v>34327</v>
      </c>
      <c r="L325" s="298">
        <v>7687</v>
      </c>
      <c r="M325" s="299">
        <v>8519</v>
      </c>
      <c r="N325" s="298">
        <v>34876</v>
      </c>
      <c r="O325" s="299">
        <v>35718</v>
      </c>
      <c r="P325" s="601">
        <f t="shared" si="87"/>
        <v>76056</v>
      </c>
      <c r="Q325" s="602">
        <f t="shared" si="88"/>
        <v>2535.1999999999998</v>
      </c>
      <c r="R325" s="603">
        <f t="shared" si="89"/>
        <v>78564</v>
      </c>
      <c r="S325" s="604">
        <f t="shared" si="90"/>
        <v>2618.8000000000002</v>
      </c>
      <c r="T325" s="298">
        <v>5683</v>
      </c>
      <c r="U325" s="299">
        <v>7048</v>
      </c>
      <c r="V325" s="601">
        <f t="shared" si="91"/>
        <v>76056</v>
      </c>
      <c r="W325" s="605">
        <f t="shared" si="92"/>
        <v>78564</v>
      </c>
      <c r="X325" s="305"/>
      <c r="Y325" s="299"/>
      <c r="Z325" s="298"/>
      <c r="AA325" s="299"/>
      <c r="AB325" s="298"/>
      <c r="AC325" s="299"/>
      <c r="AD325" s="298"/>
      <c r="AE325" s="299"/>
      <c r="AF325" s="601">
        <f t="shared" si="93"/>
        <v>0</v>
      </c>
      <c r="AG325" s="602">
        <f t="shared" si="94"/>
        <v>0</v>
      </c>
      <c r="AH325" s="603">
        <f t="shared" si="95"/>
        <v>0</v>
      </c>
      <c r="AI325" s="603">
        <f t="shared" si="96"/>
        <v>0</v>
      </c>
      <c r="AJ325" s="298"/>
      <c r="AK325" s="299"/>
      <c r="AL325" s="601">
        <f t="shared" si="97"/>
        <v>0</v>
      </c>
      <c r="AM325" s="604">
        <f t="shared" si="98"/>
        <v>0</v>
      </c>
      <c r="AN325" s="306"/>
      <c r="AO325" s="307"/>
      <c r="AP325" s="298"/>
      <c r="AQ325" s="307"/>
      <c r="AR325" s="298"/>
      <c r="AS325" s="307"/>
      <c r="AT325" s="298"/>
      <c r="AU325" s="307"/>
      <c r="AV325" s="601">
        <f t="shared" si="99"/>
        <v>0</v>
      </c>
      <c r="AW325" s="609">
        <f t="shared" si="100"/>
        <v>0</v>
      </c>
      <c r="AX325" s="603">
        <f t="shared" si="101"/>
        <v>0</v>
      </c>
      <c r="AY325" s="610">
        <f t="shared" si="102"/>
        <v>0</v>
      </c>
      <c r="AZ325" s="611">
        <f t="shared" si="103"/>
        <v>2535.1999999999998</v>
      </c>
      <c r="BA325" s="603">
        <f t="shared" si="104"/>
        <v>2618.8000000000002</v>
      </c>
    </row>
    <row r="326" spans="1:53">
      <c r="A326" s="380" t="s">
        <v>159</v>
      </c>
      <c r="B326" s="373" t="s">
        <v>756</v>
      </c>
      <c r="C326" s="492"/>
      <c r="D326" s="372">
        <v>199087</v>
      </c>
      <c r="E326" s="372">
        <v>9</v>
      </c>
      <c r="F326" s="296" t="s">
        <v>52</v>
      </c>
      <c r="G326" s="297" t="s">
        <v>52</v>
      </c>
      <c r="H326" s="298"/>
      <c r="I326" s="299"/>
      <c r="J326" s="298">
        <v>28396</v>
      </c>
      <c r="K326" s="299">
        <v>28392</v>
      </c>
      <c r="L326" s="298">
        <v>4839</v>
      </c>
      <c r="M326" s="299">
        <v>4866</v>
      </c>
      <c r="N326" s="298">
        <v>28711</v>
      </c>
      <c r="O326" s="299">
        <v>31440</v>
      </c>
      <c r="P326" s="601">
        <f t="shared" si="87"/>
        <v>61946</v>
      </c>
      <c r="Q326" s="602">
        <f t="shared" si="88"/>
        <v>2064.8666666666668</v>
      </c>
      <c r="R326" s="603">
        <f t="shared" si="89"/>
        <v>64698</v>
      </c>
      <c r="S326" s="604">
        <f t="shared" si="90"/>
        <v>2156.6</v>
      </c>
      <c r="T326" s="298">
        <v>4860</v>
      </c>
      <c r="U326" s="299">
        <v>5016</v>
      </c>
      <c r="V326" s="601">
        <f t="shared" si="91"/>
        <v>61946</v>
      </c>
      <c r="W326" s="605">
        <f t="shared" si="92"/>
        <v>64698</v>
      </c>
      <c r="X326" s="305"/>
      <c r="Y326" s="299"/>
      <c r="Z326" s="298"/>
      <c r="AA326" s="299"/>
      <c r="AB326" s="298"/>
      <c r="AC326" s="299"/>
      <c r="AD326" s="298"/>
      <c r="AE326" s="299"/>
      <c r="AF326" s="601">
        <f t="shared" si="93"/>
        <v>0</v>
      </c>
      <c r="AG326" s="602">
        <f t="shared" si="94"/>
        <v>0</v>
      </c>
      <c r="AH326" s="603">
        <f t="shared" si="95"/>
        <v>0</v>
      </c>
      <c r="AI326" s="603">
        <f t="shared" si="96"/>
        <v>0</v>
      </c>
      <c r="AJ326" s="298"/>
      <c r="AK326" s="299"/>
      <c r="AL326" s="601">
        <f t="shared" si="97"/>
        <v>0</v>
      </c>
      <c r="AM326" s="604">
        <f t="shared" si="98"/>
        <v>0</v>
      </c>
      <c r="AN326" s="306"/>
      <c r="AO326" s="307"/>
      <c r="AP326" s="298"/>
      <c r="AQ326" s="307"/>
      <c r="AR326" s="298"/>
      <c r="AS326" s="307"/>
      <c r="AT326" s="298"/>
      <c r="AU326" s="307"/>
      <c r="AV326" s="601">
        <f t="shared" si="99"/>
        <v>0</v>
      </c>
      <c r="AW326" s="609">
        <f t="shared" si="100"/>
        <v>0</v>
      </c>
      <c r="AX326" s="603">
        <f t="shared" si="101"/>
        <v>0</v>
      </c>
      <c r="AY326" s="610">
        <f t="shared" si="102"/>
        <v>0</v>
      </c>
      <c r="AZ326" s="611">
        <f t="shared" si="103"/>
        <v>2064.8666666666668</v>
      </c>
      <c r="BA326" s="603">
        <f t="shared" si="104"/>
        <v>2156.6</v>
      </c>
    </row>
    <row r="327" spans="1:53">
      <c r="A327" s="380" t="s">
        <v>159</v>
      </c>
      <c r="B327" s="373" t="s">
        <v>757</v>
      </c>
      <c r="C327" s="492"/>
      <c r="D327" s="372">
        <v>199421</v>
      </c>
      <c r="E327" s="372">
        <v>9</v>
      </c>
      <c r="F327" s="296" t="s">
        <v>52</v>
      </c>
      <c r="G327" s="297" t="s">
        <v>52</v>
      </c>
      <c r="H327" s="298"/>
      <c r="I327" s="299"/>
      <c r="J327" s="298">
        <v>27557</v>
      </c>
      <c r="K327" s="299">
        <v>27956</v>
      </c>
      <c r="L327" s="298">
        <v>6613</v>
      </c>
      <c r="M327" s="299">
        <v>5967</v>
      </c>
      <c r="N327" s="298">
        <v>29731</v>
      </c>
      <c r="O327" s="299">
        <v>29558</v>
      </c>
      <c r="P327" s="601">
        <f t="shared" ref="P327:P390" si="105">SUM(H327,J327,L327,N327)</f>
        <v>63901</v>
      </c>
      <c r="Q327" s="602">
        <f t="shared" ref="Q327:Q390" si="106">+P327/30</f>
        <v>2130.0333333333333</v>
      </c>
      <c r="R327" s="603">
        <f t="shared" ref="R327:R390" si="107">SUM(I327,K327,M327,O327)</f>
        <v>63481</v>
      </c>
      <c r="S327" s="604">
        <f t="shared" ref="S327:S390" si="108">+R327/30</f>
        <v>2116.0333333333333</v>
      </c>
      <c r="T327" s="298">
        <v>6137</v>
      </c>
      <c r="U327" s="299">
        <v>4965</v>
      </c>
      <c r="V327" s="601">
        <f t="shared" ref="V327:V390" si="109">IF(ISBLANK(T327),0,P327)</f>
        <v>63901</v>
      </c>
      <c r="W327" s="605">
        <f t="shared" ref="W327:W390" si="110">IF(ISBLANK(U327),0,R327)</f>
        <v>63481</v>
      </c>
      <c r="X327" s="305"/>
      <c r="Y327" s="299"/>
      <c r="Z327" s="298"/>
      <c r="AA327" s="299"/>
      <c r="AB327" s="298"/>
      <c r="AC327" s="299"/>
      <c r="AD327" s="298"/>
      <c r="AE327" s="299"/>
      <c r="AF327" s="601">
        <f t="shared" ref="AF327:AF390" si="111">SUM(X327,Z327,AB327,AD327)</f>
        <v>0</v>
      </c>
      <c r="AG327" s="602">
        <f t="shared" ref="AG327:AG390" si="112">+AF327/900</f>
        <v>0</v>
      </c>
      <c r="AH327" s="603">
        <f t="shared" ref="AH327:AH390" si="113">SUM(Y327,AA327,AC327,AE327)</f>
        <v>0</v>
      </c>
      <c r="AI327" s="603">
        <f t="shared" ref="AI327:AI390" si="114">+AH327/900</f>
        <v>0</v>
      </c>
      <c r="AJ327" s="298"/>
      <c r="AK327" s="299"/>
      <c r="AL327" s="601">
        <f t="shared" ref="AL327:AL390" si="115">IF(ISBLANK(AJ327),0,AF327)</f>
        <v>0</v>
      </c>
      <c r="AM327" s="604">
        <f t="shared" ref="AM327:AM390" si="116">IF(ISBLANK(AK327),0,AH327)</f>
        <v>0</v>
      </c>
      <c r="AN327" s="306"/>
      <c r="AO327" s="307"/>
      <c r="AP327" s="298"/>
      <c r="AQ327" s="307"/>
      <c r="AR327" s="298"/>
      <c r="AS327" s="307"/>
      <c r="AT327" s="298"/>
      <c r="AU327" s="307"/>
      <c r="AV327" s="601">
        <f t="shared" ref="AV327:AV390" si="117">SUM(AN327,AP327,AR327,AT327)</f>
        <v>0</v>
      </c>
      <c r="AW327" s="609">
        <f t="shared" ref="AW327:AW390" si="118">+AV327/24</f>
        <v>0</v>
      </c>
      <c r="AX327" s="603">
        <f t="shared" ref="AX327:AX390" si="119">SUM(AO327,AQ327,AS327,AU327)</f>
        <v>0</v>
      </c>
      <c r="AY327" s="610">
        <f t="shared" ref="AY327:AY390" si="120">+AX327/24</f>
        <v>0</v>
      </c>
      <c r="AZ327" s="611">
        <f t="shared" ref="AZ327:AZ390" si="121">SUM(Q327,AG327,AW327)</f>
        <v>2130.0333333333333</v>
      </c>
      <c r="BA327" s="603">
        <f t="shared" ref="BA327:BA390" si="122">SUM(S327,AI327,AY327)</f>
        <v>2116.0333333333333</v>
      </c>
    </row>
    <row r="328" spans="1:53">
      <c r="A328" s="380" t="s">
        <v>159</v>
      </c>
      <c r="B328" s="373" t="s">
        <v>758</v>
      </c>
      <c r="C328" s="492"/>
      <c r="D328" s="372">
        <v>199476</v>
      </c>
      <c r="E328" s="372">
        <v>9</v>
      </c>
      <c r="F328" s="296" t="s">
        <v>52</v>
      </c>
      <c r="G328" s="297" t="s">
        <v>52</v>
      </c>
      <c r="H328" s="298"/>
      <c r="I328" s="299"/>
      <c r="J328" s="298">
        <v>27802</v>
      </c>
      <c r="K328" s="299">
        <v>27587</v>
      </c>
      <c r="L328" s="298">
        <v>7062</v>
      </c>
      <c r="M328" s="299">
        <v>6576</v>
      </c>
      <c r="N328" s="298">
        <v>27671</v>
      </c>
      <c r="O328" s="299">
        <v>29391</v>
      </c>
      <c r="P328" s="601">
        <f t="shared" si="105"/>
        <v>62535</v>
      </c>
      <c r="Q328" s="602">
        <f t="shared" si="106"/>
        <v>2084.5</v>
      </c>
      <c r="R328" s="603">
        <f t="shared" si="107"/>
        <v>63554</v>
      </c>
      <c r="S328" s="604">
        <f t="shared" si="108"/>
        <v>2118.4666666666667</v>
      </c>
      <c r="T328" s="298">
        <v>2515</v>
      </c>
      <c r="U328" s="299">
        <v>2292</v>
      </c>
      <c r="V328" s="601">
        <f t="shared" si="109"/>
        <v>62535</v>
      </c>
      <c r="W328" s="605">
        <f t="shared" si="110"/>
        <v>63554</v>
      </c>
      <c r="X328" s="305"/>
      <c r="Y328" s="299"/>
      <c r="Z328" s="298"/>
      <c r="AA328" s="299"/>
      <c r="AB328" s="298"/>
      <c r="AC328" s="299"/>
      <c r="AD328" s="298"/>
      <c r="AE328" s="299"/>
      <c r="AF328" s="601">
        <f t="shared" si="111"/>
        <v>0</v>
      </c>
      <c r="AG328" s="602">
        <f t="shared" si="112"/>
        <v>0</v>
      </c>
      <c r="AH328" s="603">
        <f t="shared" si="113"/>
        <v>0</v>
      </c>
      <c r="AI328" s="603">
        <f t="shared" si="114"/>
        <v>0</v>
      </c>
      <c r="AJ328" s="298"/>
      <c r="AK328" s="299"/>
      <c r="AL328" s="601">
        <f t="shared" si="115"/>
        <v>0</v>
      </c>
      <c r="AM328" s="604">
        <f t="shared" si="116"/>
        <v>0</v>
      </c>
      <c r="AN328" s="306"/>
      <c r="AO328" s="307"/>
      <c r="AP328" s="298"/>
      <c r="AQ328" s="307"/>
      <c r="AR328" s="298"/>
      <c r="AS328" s="307"/>
      <c r="AT328" s="298"/>
      <c r="AU328" s="307"/>
      <c r="AV328" s="601">
        <f t="shared" si="117"/>
        <v>0</v>
      </c>
      <c r="AW328" s="609">
        <f t="shared" si="118"/>
        <v>0</v>
      </c>
      <c r="AX328" s="603">
        <f t="shared" si="119"/>
        <v>0</v>
      </c>
      <c r="AY328" s="610">
        <f t="shared" si="120"/>
        <v>0</v>
      </c>
      <c r="AZ328" s="611">
        <f t="shared" si="121"/>
        <v>2084.5</v>
      </c>
      <c r="BA328" s="603">
        <f t="shared" si="122"/>
        <v>2118.4666666666667</v>
      </c>
    </row>
    <row r="329" spans="1:53">
      <c r="A329" s="380" t="s">
        <v>159</v>
      </c>
      <c r="B329" s="373" t="s">
        <v>759</v>
      </c>
      <c r="C329" s="492"/>
      <c r="D329" s="372">
        <v>199634</v>
      </c>
      <c r="E329" s="372">
        <v>9</v>
      </c>
      <c r="F329" s="296" t="s">
        <v>52</v>
      </c>
      <c r="G329" s="297" t="s">
        <v>52</v>
      </c>
      <c r="H329" s="298"/>
      <c r="I329" s="299"/>
      <c r="J329" s="298">
        <v>37425</v>
      </c>
      <c r="K329" s="299">
        <v>39316</v>
      </c>
      <c r="L329" s="298">
        <v>12174</v>
      </c>
      <c r="M329" s="299">
        <v>12244</v>
      </c>
      <c r="N329" s="298">
        <v>40120</v>
      </c>
      <c r="O329" s="299">
        <v>39847</v>
      </c>
      <c r="P329" s="601">
        <f t="shared" si="105"/>
        <v>89719</v>
      </c>
      <c r="Q329" s="602">
        <f t="shared" si="106"/>
        <v>2990.6333333333332</v>
      </c>
      <c r="R329" s="603">
        <f t="shared" si="107"/>
        <v>91407</v>
      </c>
      <c r="S329" s="604">
        <f t="shared" si="108"/>
        <v>3046.9</v>
      </c>
      <c r="T329" s="298">
        <v>3377</v>
      </c>
      <c r="U329" s="299">
        <v>3311</v>
      </c>
      <c r="V329" s="601">
        <f t="shared" si="109"/>
        <v>89719</v>
      </c>
      <c r="W329" s="605">
        <f t="shared" si="110"/>
        <v>91407</v>
      </c>
      <c r="X329" s="305"/>
      <c r="Y329" s="299"/>
      <c r="Z329" s="298"/>
      <c r="AA329" s="299"/>
      <c r="AB329" s="298"/>
      <c r="AC329" s="299"/>
      <c r="AD329" s="298"/>
      <c r="AE329" s="299"/>
      <c r="AF329" s="601">
        <f t="shared" si="111"/>
        <v>0</v>
      </c>
      <c r="AG329" s="602">
        <f t="shared" si="112"/>
        <v>0</v>
      </c>
      <c r="AH329" s="603">
        <f t="shared" si="113"/>
        <v>0</v>
      </c>
      <c r="AI329" s="603">
        <f t="shared" si="114"/>
        <v>0</v>
      </c>
      <c r="AJ329" s="298"/>
      <c r="AK329" s="299"/>
      <c r="AL329" s="601">
        <f t="shared" si="115"/>
        <v>0</v>
      </c>
      <c r="AM329" s="604">
        <f t="shared" si="116"/>
        <v>0</v>
      </c>
      <c r="AN329" s="306"/>
      <c r="AO329" s="307"/>
      <c r="AP329" s="298"/>
      <c r="AQ329" s="307"/>
      <c r="AR329" s="298"/>
      <c r="AS329" s="307"/>
      <c r="AT329" s="298"/>
      <c r="AU329" s="307"/>
      <c r="AV329" s="601">
        <f t="shared" si="117"/>
        <v>0</v>
      </c>
      <c r="AW329" s="609">
        <f t="shared" si="118"/>
        <v>0</v>
      </c>
      <c r="AX329" s="603">
        <f t="shared" si="119"/>
        <v>0</v>
      </c>
      <c r="AY329" s="610">
        <f t="shared" si="120"/>
        <v>0</v>
      </c>
      <c r="AZ329" s="611">
        <f t="shared" si="121"/>
        <v>2990.6333333333332</v>
      </c>
      <c r="BA329" s="603">
        <f t="shared" si="122"/>
        <v>3046.9</v>
      </c>
    </row>
    <row r="330" spans="1:53">
      <c r="A330" s="380" t="s">
        <v>159</v>
      </c>
      <c r="B330" s="373" t="s">
        <v>760</v>
      </c>
      <c r="C330" s="492"/>
      <c r="D330" s="372">
        <v>199740</v>
      </c>
      <c r="E330" s="372">
        <v>9</v>
      </c>
      <c r="F330" s="296" t="s">
        <v>52</v>
      </c>
      <c r="G330" s="297" t="s">
        <v>52</v>
      </c>
      <c r="H330" s="298"/>
      <c r="I330" s="299"/>
      <c r="J330" s="298">
        <v>29391</v>
      </c>
      <c r="K330" s="299">
        <v>30381</v>
      </c>
      <c r="L330" s="298">
        <v>8872</v>
      </c>
      <c r="M330" s="299">
        <v>7991</v>
      </c>
      <c r="N330" s="298">
        <v>31180</v>
      </c>
      <c r="O330" s="299">
        <v>30647</v>
      </c>
      <c r="P330" s="601">
        <f t="shared" si="105"/>
        <v>69443</v>
      </c>
      <c r="Q330" s="602">
        <f t="shared" si="106"/>
        <v>2314.7666666666669</v>
      </c>
      <c r="R330" s="603">
        <f t="shared" si="107"/>
        <v>69019</v>
      </c>
      <c r="S330" s="604">
        <f t="shared" si="108"/>
        <v>2300.6333333333332</v>
      </c>
      <c r="T330" s="298">
        <v>2903</v>
      </c>
      <c r="U330" s="299">
        <v>2830</v>
      </c>
      <c r="V330" s="601">
        <f t="shared" si="109"/>
        <v>69443</v>
      </c>
      <c r="W330" s="605">
        <f t="shared" si="110"/>
        <v>69019</v>
      </c>
      <c r="X330" s="305"/>
      <c r="Y330" s="299"/>
      <c r="Z330" s="298"/>
      <c r="AA330" s="299"/>
      <c r="AB330" s="298"/>
      <c r="AC330" s="299"/>
      <c r="AD330" s="298"/>
      <c r="AE330" s="299"/>
      <c r="AF330" s="601">
        <f t="shared" si="111"/>
        <v>0</v>
      </c>
      <c r="AG330" s="602">
        <f t="shared" si="112"/>
        <v>0</v>
      </c>
      <c r="AH330" s="603">
        <f t="shared" si="113"/>
        <v>0</v>
      </c>
      <c r="AI330" s="603">
        <f t="shared" si="114"/>
        <v>0</v>
      </c>
      <c r="AJ330" s="298"/>
      <c r="AK330" s="299"/>
      <c r="AL330" s="601">
        <f t="shared" si="115"/>
        <v>0</v>
      </c>
      <c r="AM330" s="604">
        <f t="shared" si="116"/>
        <v>0</v>
      </c>
      <c r="AN330" s="306"/>
      <c r="AO330" s="307"/>
      <c r="AP330" s="298"/>
      <c r="AQ330" s="307"/>
      <c r="AR330" s="298"/>
      <c r="AS330" s="307"/>
      <c r="AT330" s="298"/>
      <c r="AU330" s="307"/>
      <c r="AV330" s="601">
        <f t="shared" si="117"/>
        <v>0</v>
      </c>
      <c r="AW330" s="609">
        <f t="shared" si="118"/>
        <v>0</v>
      </c>
      <c r="AX330" s="603">
        <f t="shared" si="119"/>
        <v>0</v>
      </c>
      <c r="AY330" s="610">
        <f t="shared" si="120"/>
        <v>0</v>
      </c>
      <c r="AZ330" s="611">
        <f t="shared" si="121"/>
        <v>2314.7666666666669</v>
      </c>
      <c r="BA330" s="603">
        <f t="shared" si="122"/>
        <v>2300.6333333333332</v>
      </c>
    </row>
    <row r="331" spans="1:53">
      <c r="A331" s="380" t="s">
        <v>159</v>
      </c>
      <c r="B331" s="373" t="s">
        <v>761</v>
      </c>
      <c r="C331" s="492"/>
      <c r="D331" s="372">
        <v>199768</v>
      </c>
      <c r="E331" s="372">
        <v>9</v>
      </c>
      <c r="F331" s="296" t="s">
        <v>52</v>
      </c>
      <c r="G331" s="297" t="s">
        <v>52</v>
      </c>
      <c r="H331" s="298"/>
      <c r="I331" s="299"/>
      <c r="J331" s="298">
        <v>34094</v>
      </c>
      <c r="K331" s="299">
        <v>32650</v>
      </c>
      <c r="L331" s="298">
        <v>8554</v>
      </c>
      <c r="M331" s="299">
        <v>6616</v>
      </c>
      <c r="N331" s="298">
        <v>34234</v>
      </c>
      <c r="O331" s="299">
        <v>35128</v>
      </c>
      <c r="P331" s="601">
        <f t="shared" si="105"/>
        <v>76882</v>
      </c>
      <c r="Q331" s="602">
        <f t="shared" si="106"/>
        <v>2562.7333333333331</v>
      </c>
      <c r="R331" s="603">
        <f t="shared" si="107"/>
        <v>74394</v>
      </c>
      <c r="S331" s="604">
        <f t="shared" si="108"/>
        <v>2479.8000000000002</v>
      </c>
      <c r="T331" s="298">
        <v>7040</v>
      </c>
      <c r="U331" s="299">
        <v>7513</v>
      </c>
      <c r="V331" s="601">
        <f t="shared" si="109"/>
        <v>76882</v>
      </c>
      <c r="W331" s="605">
        <f t="shared" si="110"/>
        <v>74394</v>
      </c>
      <c r="X331" s="305"/>
      <c r="Y331" s="299"/>
      <c r="Z331" s="298"/>
      <c r="AA331" s="299"/>
      <c r="AB331" s="298"/>
      <c r="AC331" s="299"/>
      <c r="AD331" s="298"/>
      <c r="AE331" s="299"/>
      <c r="AF331" s="601">
        <f t="shared" si="111"/>
        <v>0</v>
      </c>
      <c r="AG331" s="602">
        <f t="shared" si="112"/>
        <v>0</v>
      </c>
      <c r="AH331" s="603">
        <f t="shared" si="113"/>
        <v>0</v>
      </c>
      <c r="AI331" s="603">
        <f t="shared" si="114"/>
        <v>0</v>
      </c>
      <c r="AJ331" s="298"/>
      <c r="AK331" s="299"/>
      <c r="AL331" s="601">
        <f t="shared" si="115"/>
        <v>0</v>
      </c>
      <c r="AM331" s="604">
        <f t="shared" si="116"/>
        <v>0</v>
      </c>
      <c r="AN331" s="306"/>
      <c r="AO331" s="307"/>
      <c r="AP331" s="298"/>
      <c r="AQ331" s="307"/>
      <c r="AR331" s="298"/>
      <c r="AS331" s="307"/>
      <c r="AT331" s="298"/>
      <c r="AU331" s="307"/>
      <c r="AV331" s="601">
        <f t="shared" si="117"/>
        <v>0</v>
      </c>
      <c r="AW331" s="609">
        <f t="shared" si="118"/>
        <v>0</v>
      </c>
      <c r="AX331" s="603">
        <f t="shared" si="119"/>
        <v>0</v>
      </c>
      <c r="AY331" s="610">
        <f t="shared" si="120"/>
        <v>0</v>
      </c>
      <c r="AZ331" s="611">
        <f t="shared" si="121"/>
        <v>2562.7333333333331</v>
      </c>
      <c r="BA331" s="603">
        <f t="shared" si="122"/>
        <v>2479.8000000000002</v>
      </c>
    </row>
    <row r="332" spans="1:53">
      <c r="A332" s="380" t="s">
        <v>159</v>
      </c>
      <c r="B332" s="373" t="s">
        <v>762</v>
      </c>
      <c r="C332" s="492"/>
      <c r="D332" s="372">
        <v>199838</v>
      </c>
      <c r="E332" s="372">
        <v>9</v>
      </c>
      <c r="F332" s="296" t="s">
        <v>52</v>
      </c>
      <c r="G332" s="297" t="s">
        <v>52</v>
      </c>
      <c r="H332" s="298"/>
      <c r="I332" s="299"/>
      <c r="J332" s="298">
        <v>40516</v>
      </c>
      <c r="K332" s="299">
        <v>37606</v>
      </c>
      <c r="L332" s="298">
        <v>7845</v>
      </c>
      <c r="M332" s="299">
        <v>6683</v>
      </c>
      <c r="N332" s="298">
        <v>38866</v>
      </c>
      <c r="O332" s="299">
        <v>39449</v>
      </c>
      <c r="P332" s="601">
        <f t="shared" si="105"/>
        <v>87227</v>
      </c>
      <c r="Q332" s="602">
        <f t="shared" si="106"/>
        <v>2907.5666666666666</v>
      </c>
      <c r="R332" s="603">
        <f t="shared" si="107"/>
        <v>83738</v>
      </c>
      <c r="S332" s="604">
        <f t="shared" si="108"/>
        <v>2791.2666666666669</v>
      </c>
      <c r="T332" s="298">
        <v>6495</v>
      </c>
      <c r="U332" s="299">
        <v>7751</v>
      </c>
      <c r="V332" s="601">
        <f t="shared" si="109"/>
        <v>87227</v>
      </c>
      <c r="W332" s="605">
        <f t="shared" si="110"/>
        <v>83738</v>
      </c>
      <c r="X332" s="305"/>
      <c r="Y332" s="299"/>
      <c r="Z332" s="298"/>
      <c r="AA332" s="299"/>
      <c r="AB332" s="298"/>
      <c r="AC332" s="299"/>
      <c r="AD332" s="298"/>
      <c r="AE332" s="299"/>
      <c r="AF332" s="601">
        <f t="shared" si="111"/>
        <v>0</v>
      </c>
      <c r="AG332" s="602">
        <f t="shared" si="112"/>
        <v>0</v>
      </c>
      <c r="AH332" s="603">
        <f t="shared" si="113"/>
        <v>0</v>
      </c>
      <c r="AI332" s="603">
        <f t="shared" si="114"/>
        <v>0</v>
      </c>
      <c r="AJ332" s="298"/>
      <c r="AK332" s="299"/>
      <c r="AL332" s="601">
        <f t="shared" si="115"/>
        <v>0</v>
      </c>
      <c r="AM332" s="604">
        <f t="shared" si="116"/>
        <v>0</v>
      </c>
      <c r="AN332" s="306"/>
      <c r="AO332" s="307"/>
      <c r="AP332" s="298"/>
      <c r="AQ332" s="307"/>
      <c r="AR332" s="298"/>
      <c r="AS332" s="307"/>
      <c r="AT332" s="298"/>
      <c r="AU332" s="307"/>
      <c r="AV332" s="601">
        <f t="shared" si="117"/>
        <v>0</v>
      </c>
      <c r="AW332" s="609">
        <f t="shared" si="118"/>
        <v>0</v>
      </c>
      <c r="AX332" s="603">
        <f t="shared" si="119"/>
        <v>0</v>
      </c>
      <c r="AY332" s="610">
        <f t="shared" si="120"/>
        <v>0</v>
      </c>
      <c r="AZ332" s="611">
        <f t="shared" si="121"/>
        <v>2907.5666666666666</v>
      </c>
      <c r="BA332" s="603">
        <f t="shared" si="122"/>
        <v>2791.2666666666669</v>
      </c>
    </row>
    <row r="333" spans="1:53">
      <c r="A333" s="380" t="s">
        <v>159</v>
      </c>
      <c r="B333" s="373" t="s">
        <v>763</v>
      </c>
      <c r="C333" s="492"/>
      <c r="D333" s="372">
        <v>199892</v>
      </c>
      <c r="E333" s="372">
        <v>9</v>
      </c>
      <c r="F333" s="296" t="s">
        <v>52</v>
      </c>
      <c r="G333" s="297" t="s">
        <v>52</v>
      </c>
      <c r="H333" s="298"/>
      <c r="I333" s="299"/>
      <c r="J333" s="298">
        <v>36396</v>
      </c>
      <c r="K333" s="299">
        <v>38166</v>
      </c>
      <c r="L333" s="298">
        <v>7375</v>
      </c>
      <c r="M333" s="299">
        <v>7943</v>
      </c>
      <c r="N333" s="298">
        <v>39976</v>
      </c>
      <c r="O333" s="299">
        <v>38232</v>
      </c>
      <c r="P333" s="601">
        <f t="shared" si="105"/>
        <v>83747</v>
      </c>
      <c r="Q333" s="602">
        <f t="shared" si="106"/>
        <v>2791.5666666666666</v>
      </c>
      <c r="R333" s="603">
        <f t="shared" si="107"/>
        <v>84341</v>
      </c>
      <c r="S333" s="604">
        <f t="shared" si="108"/>
        <v>2811.3666666666668</v>
      </c>
      <c r="T333" s="298">
        <v>5768</v>
      </c>
      <c r="U333" s="299">
        <v>5719</v>
      </c>
      <c r="V333" s="601">
        <f t="shared" si="109"/>
        <v>83747</v>
      </c>
      <c r="W333" s="605">
        <f t="shared" si="110"/>
        <v>84341</v>
      </c>
      <c r="X333" s="305"/>
      <c r="Y333" s="299"/>
      <c r="Z333" s="298"/>
      <c r="AA333" s="299"/>
      <c r="AB333" s="298"/>
      <c r="AC333" s="299"/>
      <c r="AD333" s="298"/>
      <c r="AE333" s="299"/>
      <c r="AF333" s="601">
        <f t="shared" si="111"/>
        <v>0</v>
      </c>
      <c r="AG333" s="602">
        <f t="shared" si="112"/>
        <v>0</v>
      </c>
      <c r="AH333" s="603">
        <f t="shared" si="113"/>
        <v>0</v>
      </c>
      <c r="AI333" s="603">
        <f t="shared" si="114"/>
        <v>0</v>
      </c>
      <c r="AJ333" s="298"/>
      <c r="AK333" s="299"/>
      <c r="AL333" s="601">
        <f t="shared" si="115"/>
        <v>0</v>
      </c>
      <c r="AM333" s="604">
        <f t="shared" si="116"/>
        <v>0</v>
      </c>
      <c r="AN333" s="306"/>
      <c r="AO333" s="307"/>
      <c r="AP333" s="298"/>
      <c r="AQ333" s="307"/>
      <c r="AR333" s="298"/>
      <c r="AS333" s="307"/>
      <c r="AT333" s="298"/>
      <c r="AU333" s="307"/>
      <c r="AV333" s="601">
        <f t="shared" si="117"/>
        <v>0</v>
      </c>
      <c r="AW333" s="609">
        <f t="shared" si="118"/>
        <v>0</v>
      </c>
      <c r="AX333" s="603">
        <f t="shared" si="119"/>
        <v>0</v>
      </c>
      <c r="AY333" s="610">
        <f t="shared" si="120"/>
        <v>0</v>
      </c>
      <c r="AZ333" s="611">
        <f t="shared" si="121"/>
        <v>2791.5666666666666</v>
      </c>
      <c r="BA333" s="603">
        <f t="shared" si="122"/>
        <v>2811.3666666666668</v>
      </c>
    </row>
    <row r="334" spans="1:53">
      <c r="A334" s="380" t="s">
        <v>159</v>
      </c>
      <c r="B334" s="373" t="s">
        <v>764</v>
      </c>
      <c r="C334" s="492"/>
      <c r="D334" s="372">
        <v>199908</v>
      </c>
      <c r="E334" s="372">
        <v>9</v>
      </c>
      <c r="F334" s="296" t="s">
        <v>52</v>
      </c>
      <c r="G334" s="297" t="s">
        <v>52</v>
      </c>
      <c r="H334" s="298"/>
      <c r="I334" s="299"/>
      <c r="J334" s="298">
        <v>35758</v>
      </c>
      <c r="K334" s="299">
        <v>33292</v>
      </c>
      <c r="L334" s="298">
        <v>10455</v>
      </c>
      <c r="M334" s="299">
        <v>10232</v>
      </c>
      <c r="N334" s="298">
        <v>35279</v>
      </c>
      <c r="O334" s="299">
        <v>32716</v>
      </c>
      <c r="P334" s="601">
        <f t="shared" si="105"/>
        <v>81492</v>
      </c>
      <c r="Q334" s="602">
        <f t="shared" si="106"/>
        <v>2716.4</v>
      </c>
      <c r="R334" s="603">
        <f t="shared" si="107"/>
        <v>76240</v>
      </c>
      <c r="S334" s="604">
        <f t="shared" si="108"/>
        <v>2541.3333333333335</v>
      </c>
      <c r="T334" s="298">
        <v>3711</v>
      </c>
      <c r="U334" s="299">
        <v>4344</v>
      </c>
      <c r="V334" s="601">
        <f t="shared" si="109"/>
        <v>81492</v>
      </c>
      <c r="W334" s="605">
        <f t="shared" si="110"/>
        <v>76240</v>
      </c>
      <c r="X334" s="305"/>
      <c r="Y334" s="299"/>
      <c r="Z334" s="298"/>
      <c r="AA334" s="299"/>
      <c r="AB334" s="298"/>
      <c r="AC334" s="299"/>
      <c r="AD334" s="298"/>
      <c r="AE334" s="299"/>
      <c r="AF334" s="601">
        <f t="shared" si="111"/>
        <v>0</v>
      </c>
      <c r="AG334" s="602">
        <f t="shared" si="112"/>
        <v>0</v>
      </c>
      <c r="AH334" s="603">
        <f t="shared" si="113"/>
        <v>0</v>
      </c>
      <c r="AI334" s="603">
        <f t="shared" si="114"/>
        <v>0</v>
      </c>
      <c r="AJ334" s="298"/>
      <c r="AK334" s="299"/>
      <c r="AL334" s="601">
        <f t="shared" si="115"/>
        <v>0</v>
      </c>
      <c r="AM334" s="604">
        <f t="shared" si="116"/>
        <v>0</v>
      </c>
      <c r="AN334" s="306"/>
      <c r="AO334" s="307"/>
      <c r="AP334" s="298"/>
      <c r="AQ334" s="307"/>
      <c r="AR334" s="298"/>
      <c r="AS334" s="307"/>
      <c r="AT334" s="298"/>
      <c r="AU334" s="307"/>
      <c r="AV334" s="601">
        <f t="shared" si="117"/>
        <v>0</v>
      </c>
      <c r="AW334" s="609">
        <f t="shared" si="118"/>
        <v>0</v>
      </c>
      <c r="AX334" s="603">
        <f t="shared" si="119"/>
        <v>0</v>
      </c>
      <c r="AY334" s="610">
        <f t="shared" si="120"/>
        <v>0</v>
      </c>
      <c r="AZ334" s="611">
        <f t="shared" si="121"/>
        <v>2716.4</v>
      </c>
      <c r="BA334" s="603">
        <f t="shared" si="122"/>
        <v>2541.3333333333335</v>
      </c>
    </row>
    <row r="335" spans="1:53">
      <c r="A335" s="380" t="s">
        <v>159</v>
      </c>
      <c r="B335" s="373" t="s">
        <v>765</v>
      </c>
      <c r="C335" s="492"/>
      <c r="D335" s="372">
        <v>199926</v>
      </c>
      <c r="E335" s="372">
        <v>9</v>
      </c>
      <c r="F335" s="296" t="s">
        <v>52</v>
      </c>
      <c r="G335" s="297" t="s">
        <v>52</v>
      </c>
      <c r="H335" s="298"/>
      <c r="I335" s="299"/>
      <c r="J335" s="298">
        <v>29913</v>
      </c>
      <c r="K335" s="299">
        <v>28350</v>
      </c>
      <c r="L335" s="298">
        <v>5023</v>
      </c>
      <c r="M335" s="299">
        <v>5501</v>
      </c>
      <c r="N335" s="298">
        <v>30882</v>
      </c>
      <c r="O335" s="299">
        <v>28429</v>
      </c>
      <c r="P335" s="601">
        <f t="shared" si="105"/>
        <v>65818</v>
      </c>
      <c r="Q335" s="602">
        <f t="shared" si="106"/>
        <v>2193.9333333333334</v>
      </c>
      <c r="R335" s="603">
        <f t="shared" si="107"/>
        <v>62280</v>
      </c>
      <c r="S335" s="604">
        <f t="shared" si="108"/>
        <v>2076</v>
      </c>
      <c r="T335" s="298">
        <v>2329</v>
      </c>
      <c r="U335" s="299">
        <v>2358</v>
      </c>
      <c r="V335" s="601">
        <f t="shared" si="109"/>
        <v>65818</v>
      </c>
      <c r="W335" s="605">
        <f t="shared" si="110"/>
        <v>62280</v>
      </c>
      <c r="X335" s="305"/>
      <c r="Y335" s="299"/>
      <c r="Z335" s="298"/>
      <c r="AA335" s="299"/>
      <c r="AB335" s="298"/>
      <c r="AC335" s="299"/>
      <c r="AD335" s="298"/>
      <c r="AE335" s="299"/>
      <c r="AF335" s="601">
        <f t="shared" si="111"/>
        <v>0</v>
      </c>
      <c r="AG335" s="602">
        <f t="shared" si="112"/>
        <v>0</v>
      </c>
      <c r="AH335" s="603">
        <f t="shared" si="113"/>
        <v>0</v>
      </c>
      <c r="AI335" s="603">
        <f t="shared" si="114"/>
        <v>0</v>
      </c>
      <c r="AJ335" s="298"/>
      <c r="AK335" s="299"/>
      <c r="AL335" s="601">
        <f t="shared" si="115"/>
        <v>0</v>
      </c>
      <c r="AM335" s="604">
        <f t="shared" si="116"/>
        <v>0</v>
      </c>
      <c r="AN335" s="306"/>
      <c r="AO335" s="307"/>
      <c r="AP335" s="298"/>
      <c r="AQ335" s="307"/>
      <c r="AR335" s="298"/>
      <c r="AS335" s="307"/>
      <c r="AT335" s="298"/>
      <c r="AU335" s="307"/>
      <c r="AV335" s="601">
        <f t="shared" si="117"/>
        <v>0</v>
      </c>
      <c r="AW335" s="609">
        <f t="shared" si="118"/>
        <v>0</v>
      </c>
      <c r="AX335" s="603">
        <f t="shared" si="119"/>
        <v>0</v>
      </c>
      <c r="AY335" s="610">
        <f t="shared" si="120"/>
        <v>0</v>
      </c>
      <c r="AZ335" s="611">
        <f t="shared" si="121"/>
        <v>2193.9333333333334</v>
      </c>
      <c r="BA335" s="603">
        <f t="shared" si="122"/>
        <v>2076</v>
      </c>
    </row>
    <row r="336" spans="1:53">
      <c r="A336" s="380" t="s">
        <v>159</v>
      </c>
      <c r="B336" s="373" t="s">
        <v>766</v>
      </c>
      <c r="C336" s="492"/>
      <c r="D336" s="372">
        <v>197966</v>
      </c>
      <c r="E336" s="372">
        <v>10</v>
      </c>
      <c r="F336" s="296" t="s">
        <v>52</v>
      </c>
      <c r="G336" s="297" t="s">
        <v>52</v>
      </c>
      <c r="H336" s="298"/>
      <c r="I336" s="299"/>
      <c r="J336" s="298">
        <v>18277</v>
      </c>
      <c r="K336" s="299">
        <v>17788</v>
      </c>
      <c r="L336" s="298">
        <v>2472</v>
      </c>
      <c r="M336" s="299">
        <v>3343</v>
      </c>
      <c r="N336" s="298">
        <v>19253</v>
      </c>
      <c r="O336" s="299">
        <v>19184</v>
      </c>
      <c r="P336" s="601">
        <f t="shared" si="105"/>
        <v>40002</v>
      </c>
      <c r="Q336" s="602">
        <f t="shared" si="106"/>
        <v>1333.4</v>
      </c>
      <c r="R336" s="603">
        <f t="shared" si="107"/>
        <v>40315</v>
      </c>
      <c r="S336" s="604">
        <f t="shared" si="108"/>
        <v>1343.8333333333333</v>
      </c>
      <c r="T336" s="298">
        <v>1325</v>
      </c>
      <c r="U336" s="299">
        <v>2396</v>
      </c>
      <c r="V336" s="601">
        <f t="shared" si="109"/>
        <v>40002</v>
      </c>
      <c r="W336" s="605">
        <f t="shared" si="110"/>
        <v>40315</v>
      </c>
      <c r="X336" s="305"/>
      <c r="Y336" s="299"/>
      <c r="Z336" s="298"/>
      <c r="AA336" s="299"/>
      <c r="AB336" s="298"/>
      <c r="AC336" s="299"/>
      <c r="AD336" s="298"/>
      <c r="AE336" s="299"/>
      <c r="AF336" s="601">
        <f t="shared" si="111"/>
        <v>0</v>
      </c>
      <c r="AG336" s="602">
        <f t="shared" si="112"/>
        <v>0</v>
      </c>
      <c r="AH336" s="603">
        <f t="shared" si="113"/>
        <v>0</v>
      </c>
      <c r="AI336" s="603">
        <f t="shared" si="114"/>
        <v>0</v>
      </c>
      <c r="AJ336" s="298"/>
      <c r="AK336" s="299"/>
      <c r="AL336" s="601">
        <f t="shared" si="115"/>
        <v>0</v>
      </c>
      <c r="AM336" s="604">
        <f t="shared" si="116"/>
        <v>0</v>
      </c>
      <c r="AN336" s="306"/>
      <c r="AO336" s="307"/>
      <c r="AP336" s="298"/>
      <c r="AQ336" s="307"/>
      <c r="AR336" s="298"/>
      <c r="AS336" s="307"/>
      <c r="AT336" s="298"/>
      <c r="AU336" s="307"/>
      <c r="AV336" s="601">
        <f t="shared" si="117"/>
        <v>0</v>
      </c>
      <c r="AW336" s="609">
        <f t="shared" si="118"/>
        <v>0</v>
      </c>
      <c r="AX336" s="603">
        <f t="shared" si="119"/>
        <v>0</v>
      </c>
      <c r="AY336" s="610">
        <f t="shared" si="120"/>
        <v>0</v>
      </c>
      <c r="AZ336" s="611">
        <f t="shared" si="121"/>
        <v>1333.4</v>
      </c>
      <c r="BA336" s="603">
        <f t="shared" si="122"/>
        <v>1343.8333333333333</v>
      </c>
    </row>
    <row r="337" spans="1:53">
      <c r="A337" s="380" t="s">
        <v>159</v>
      </c>
      <c r="B337" s="373" t="s">
        <v>767</v>
      </c>
      <c r="C337" s="492"/>
      <c r="D337" s="372">
        <v>198011</v>
      </c>
      <c r="E337" s="372">
        <v>10</v>
      </c>
      <c r="F337" s="296" t="s">
        <v>52</v>
      </c>
      <c r="G337" s="297" t="s">
        <v>52</v>
      </c>
      <c r="H337" s="298"/>
      <c r="I337" s="299"/>
      <c r="J337" s="298">
        <v>19038</v>
      </c>
      <c r="K337" s="299">
        <v>18108</v>
      </c>
      <c r="L337" s="298">
        <v>3156</v>
      </c>
      <c r="M337" s="299">
        <v>2366</v>
      </c>
      <c r="N337" s="298">
        <v>20188</v>
      </c>
      <c r="O337" s="299">
        <v>17585</v>
      </c>
      <c r="P337" s="601">
        <f t="shared" si="105"/>
        <v>42382</v>
      </c>
      <c r="Q337" s="602">
        <f t="shared" si="106"/>
        <v>1412.7333333333333</v>
      </c>
      <c r="R337" s="603">
        <f t="shared" si="107"/>
        <v>38059</v>
      </c>
      <c r="S337" s="604">
        <f t="shared" si="108"/>
        <v>1268.6333333333334</v>
      </c>
      <c r="T337" s="298">
        <v>534</v>
      </c>
      <c r="U337" s="299">
        <v>329</v>
      </c>
      <c r="V337" s="601">
        <f t="shared" si="109"/>
        <v>42382</v>
      </c>
      <c r="W337" s="605">
        <f t="shared" si="110"/>
        <v>38059</v>
      </c>
      <c r="X337" s="305"/>
      <c r="Y337" s="299"/>
      <c r="Z337" s="298"/>
      <c r="AA337" s="299"/>
      <c r="AB337" s="298"/>
      <c r="AC337" s="299"/>
      <c r="AD337" s="298"/>
      <c r="AE337" s="299"/>
      <c r="AF337" s="601">
        <f t="shared" si="111"/>
        <v>0</v>
      </c>
      <c r="AG337" s="602">
        <f t="shared" si="112"/>
        <v>0</v>
      </c>
      <c r="AH337" s="603">
        <f t="shared" si="113"/>
        <v>0</v>
      </c>
      <c r="AI337" s="603">
        <f t="shared" si="114"/>
        <v>0</v>
      </c>
      <c r="AJ337" s="298"/>
      <c r="AK337" s="299"/>
      <c r="AL337" s="601">
        <f t="shared" si="115"/>
        <v>0</v>
      </c>
      <c r="AM337" s="604">
        <f t="shared" si="116"/>
        <v>0</v>
      </c>
      <c r="AN337" s="306"/>
      <c r="AO337" s="307"/>
      <c r="AP337" s="298"/>
      <c r="AQ337" s="307"/>
      <c r="AR337" s="298"/>
      <c r="AS337" s="307"/>
      <c r="AT337" s="298"/>
      <c r="AU337" s="307"/>
      <c r="AV337" s="601">
        <f t="shared" si="117"/>
        <v>0</v>
      </c>
      <c r="AW337" s="609">
        <f t="shared" si="118"/>
        <v>0</v>
      </c>
      <c r="AX337" s="603">
        <f t="shared" si="119"/>
        <v>0</v>
      </c>
      <c r="AY337" s="610">
        <f t="shared" si="120"/>
        <v>0</v>
      </c>
      <c r="AZ337" s="611">
        <f t="shared" si="121"/>
        <v>1412.7333333333333</v>
      </c>
      <c r="BA337" s="603">
        <f t="shared" si="122"/>
        <v>1268.6333333333334</v>
      </c>
    </row>
    <row r="338" spans="1:53">
      <c r="A338" s="380" t="s">
        <v>159</v>
      </c>
      <c r="B338" s="493" t="s">
        <v>768</v>
      </c>
      <c r="C338" s="492"/>
      <c r="D338" s="372">
        <v>198039</v>
      </c>
      <c r="E338" s="494">
        <v>10</v>
      </c>
      <c r="F338" s="296" t="s">
        <v>52</v>
      </c>
      <c r="G338" s="297" t="s">
        <v>52</v>
      </c>
      <c r="H338" s="298"/>
      <c r="I338" s="299"/>
      <c r="J338" s="298">
        <v>21642</v>
      </c>
      <c r="K338" s="299">
        <v>21599</v>
      </c>
      <c r="L338" s="298">
        <v>6014</v>
      </c>
      <c r="M338" s="299">
        <v>5334</v>
      </c>
      <c r="N338" s="298">
        <v>22815</v>
      </c>
      <c r="O338" s="299">
        <v>22761</v>
      </c>
      <c r="P338" s="601">
        <f t="shared" si="105"/>
        <v>50471</v>
      </c>
      <c r="Q338" s="602">
        <f t="shared" si="106"/>
        <v>1682.3666666666666</v>
      </c>
      <c r="R338" s="603">
        <f t="shared" si="107"/>
        <v>49694</v>
      </c>
      <c r="S338" s="604">
        <f t="shared" si="108"/>
        <v>1656.4666666666667</v>
      </c>
      <c r="T338" s="298">
        <v>2698</v>
      </c>
      <c r="U338" s="299">
        <v>3393</v>
      </c>
      <c r="V338" s="601">
        <f t="shared" si="109"/>
        <v>50471</v>
      </c>
      <c r="W338" s="605">
        <f t="shared" si="110"/>
        <v>49694</v>
      </c>
      <c r="X338" s="305"/>
      <c r="Y338" s="299"/>
      <c r="Z338" s="298"/>
      <c r="AA338" s="299"/>
      <c r="AB338" s="298"/>
      <c r="AC338" s="299"/>
      <c r="AD338" s="298"/>
      <c r="AE338" s="299"/>
      <c r="AF338" s="601">
        <f t="shared" si="111"/>
        <v>0</v>
      </c>
      <c r="AG338" s="602">
        <f t="shared" si="112"/>
        <v>0</v>
      </c>
      <c r="AH338" s="603">
        <f t="shared" si="113"/>
        <v>0</v>
      </c>
      <c r="AI338" s="603">
        <f t="shared" si="114"/>
        <v>0</v>
      </c>
      <c r="AJ338" s="298"/>
      <c r="AK338" s="299"/>
      <c r="AL338" s="601">
        <f t="shared" si="115"/>
        <v>0</v>
      </c>
      <c r="AM338" s="604">
        <f t="shared" si="116"/>
        <v>0</v>
      </c>
      <c r="AN338" s="306"/>
      <c r="AO338" s="307"/>
      <c r="AP338" s="298"/>
      <c r="AQ338" s="307"/>
      <c r="AR338" s="298"/>
      <c r="AS338" s="307"/>
      <c r="AT338" s="298"/>
      <c r="AU338" s="307"/>
      <c r="AV338" s="601">
        <f t="shared" si="117"/>
        <v>0</v>
      </c>
      <c r="AW338" s="609">
        <f t="shared" si="118"/>
        <v>0</v>
      </c>
      <c r="AX338" s="603">
        <f t="shared" si="119"/>
        <v>0</v>
      </c>
      <c r="AY338" s="610">
        <f t="shared" si="120"/>
        <v>0</v>
      </c>
      <c r="AZ338" s="611">
        <f t="shared" si="121"/>
        <v>1682.3666666666666</v>
      </c>
      <c r="BA338" s="603">
        <f t="shared" si="122"/>
        <v>1656.4666666666667</v>
      </c>
    </row>
    <row r="339" spans="1:53">
      <c r="A339" s="380" t="s">
        <v>159</v>
      </c>
      <c r="B339" s="373" t="s">
        <v>769</v>
      </c>
      <c r="C339" s="492"/>
      <c r="D339" s="372">
        <v>198084</v>
      </c>
      <c r="E339" s="372">
        <v>10</v>
      </c>
      <c r="F339" s="296" t="s">
        <v>52</v>
      </c>
      <c r="G339" s="297" t="s">
        <v>52</v>
      </c>
      <c r="H339" s="298"/>
      <c r="I339" s="299"/>
      <c r="J339" s="298">
        <v>14990</v>
      </c>
      <c r="K339" s="299">
        <v>14408</v>
      </c>
      <c r="L339" s="298">
        <v>764</v>
      </c>
      <c r="M339" s="299">
        <v>2620</v>
      </c>
      <c r="N339" s="298">
        <v>15080</v>
      </c>
      <c r="O339" s="299">
        <v>16033</v>
      </c>
      <c r="P339" s="601">
        <f t="shared" si="105"/>
        <v>30834</v>
      </c>
      <c r="Q339" s="602">
        <f t="shared" si="106"/>
        <v>1027.8</v>
      </c>
      <c r="R339" s="603">
        <f t="shared" si="107"/>
        <v>33061</v>
      </c>
      <c r="S339" s="604">
        <f t="shared" si="108"/>
        <v>1102.0333333333333</v>
      </c>
      <c r="T339" s="298">
        <v>3095</v>
      </c>
      <c r="U339" s="299">
        <v>3384</v>
      </c>
      <c r="V339" s="601">
        <f t="shared" si="109"/>
        <v>30834</v>
      </c>
      <c r="W339" s="605">
        <f t="shared" si="110"/>
        <v>33061</v>
      </c>
      <c r="X339" s="305"/>
      <c r="Y339" s="299"/>
      <c r="Z339" s="298"/>
      <c r="AA339" s="299"/>
      <c r="AB339" s="298"/>
      <c r="AC339" s="299"/>
      <c r="AD339" s="298"/>
      <c r="AE339" s="299"/>
      <c r="AF339" s="601">
        <f t="shared" si="111"/>
        <v>0</v>
      </c>
      <c r="AG339" s="602">
        <f t="shared" si="112"/>
        <v>0</v>
      </c>
      <c r="AH339" s="603">
        <f t="shared" si="113"/>
        <v>0</v>
      </c>
      <c r="AI339" s="603">
        <f t="shared" si="114"/>
        <v>0</v>
      </c>
      <c r="AJ339" s="298"/>
      <c r="AK339" s="299"/>
      <c r="AL339" s="601">
        <f t="shared" si="115"/>
        <v>0</v>
      </c>
      <c r="AM339" s="604">
        <f t="shared" si="116"/>
        <v>0</v>
      </c>
      <c r="AN339" s="306"/>
      <c r="AO339" s="307"/>
      <c r="AP339" s="298"/>
      <c r="AQ339" s="307"/>
      <c r="AR339" s="298"/>
      <c r="AS339" s="307"/>
      <c r="AT339" s="298"/>
      <c r="AU339" s="307"/>
      <c r="AV339" s="601">
        <f t="shared" si="117"/>
        <v>0</v>
      </c>
      <c r="AW339" s="609">
        <f t="shared" si="118"/>
        <v>0</v>
      </c>
      <c r="AX339" s="603">
        <f t="shared" si="119"/>
        <v>0</v>
      </c>
      <c r="AY339" s="610">
        <f t="shared" si="120"/>
        <v>0</v>
      </c>
      <c r="AZ339" s="611">
        <f t="shared" si="121"/>
        <v>1027.8</v>
      </c>
      <c r="BA339" s="603">
        <f t="shared" si="122"/>
        <v>1102.0333333333333</v>
      </c>
    </row>
    <row r="340" spans="1:53">
      <c r="A340" s="380" t="s">
        <v>159</v>
      </c>
      <c r="B340" s="373" t="s">
        <v>770</v>
      </c>
      <c r="C340" s="492"/>
      <c r="D340" s="372">
        <v>198206</v>
      </c>
      <c r="E340" s="372">
        <v>10</v>
      </c>
      <c r="F340" s="296" t="s">
        <v>52</v>
      </c>
      <c r="G340" s="297" t="s">
        <v>52</v>
      </c>
      <c r="H340" s="298"/>
      <c r="I340" s="299"/>
      <c r="J340" s="298">
        <v>17828</v>
      </c>
      <c r="K340" s="299">
        <v>17963</v>
      </c>
      <c r="L340" s="298">
        <v>4339</v>
      </c>
      <c r="M340" s="299">
        <v>4289</v>
      </c>
      <c r="N340" s="298">
        <v>17658</v>
      </c>
      <c r="O340" s="299">
        <v>17265</v>
      </c>
      <c r="P340" s="601">
        <f t="shared" si="105"/>
        <v>39825</v>
      </c>
      <c r="Q340" s="602">
        <f t="shared" si="106"/>
        <v>1327.5</v>
      </c>
      <c r="R340" s="603">
        <f t="shared" si="107"/>
        <v>39517</v>
      </c>
      <c r="S340" s="604">
        <f t="shared" si="108"/>
        <v>1317.2333333333333</v>
      </c>
      <c r="T340" s="298">
        <v>723</v>
      </c>
      <c r="U340" s="299">
        <v>318</v>
      </c>
      <c r="V340" s="601">
        <f t="shared" si="109"/>
        <v>39825</v>
      </c>
      <c r="W340" s="605">
        <f t="shared" si="110"/>
        <v>39517</v>
      </c>
      <c r="X340" s="305"/>
      <c r="Y340" s="299"/>
      <c r="Z340" s="298"/>
      <c r="AA340" s="299"/>
      <c r="AB340" s="298"/>
      <c r="AC340" s="299"/>
      <c r="AD340" s="298"/>
      <c r="AE340" s="299"/>
      <c r="AF340" s="601">
        <f t="shared" si="111"/>
        <v>0</v>
      </c>
      <c r="AG340" s="602">
        <f t="shared" si="112"/>
        <v>0</v>
      </c>
      <c r="AH340" s="603">
        <f t="shared" si="113"/>
        <v>0</v>
      </c>
      <c r="AI340" s="603">
        <f t="shared" si="114"/>
        <v>0</v>
      </c>
      <c r="AJ340" s="298"/>
      <c r="AK340" s="299"/>
      <c r="AL340" s="601">
        <f t="shared" si="115"/>
        <v>0</v>
      </c>
      <c r="AM340" s="604">
        <f t="shared" si="116"/>
        <v>0</v>
      </c>
      <c r="AN340" s="306"/>
      <c r="AO340" s="307"/>
      <c r="AP340" s="298"/>
      <c r="AQ340" s="307"/>
      <c r="AR340" s="298"/>
      <c r="AS340" s="307"/>
      <c r="AT340" s="298"/>
      <c r="AU340" s="307"/>
      <c r="AV340" s="601">
        <f t="shared" si="117"/>
        <v>0</v>
      </c>
      <c r="AW340" s="609">
        <f t="shared" si="118"/>
        <v>0</v>
      </c>
      <c r="AX340" s="603">
        <f t="shared" si="119"/>
        <v>0</v>
      </c>
      <c r="AY340" s="610">
        <f t="shared" si="120"/>
        <v>0</v>
      </c>
      <c r="AZ340" s="611">
        <f t="shared" si="121"/>
        <v>1327.5</v>
      </c>
      <c r="BA340" s="603">
        <f t="shared" si="122"/>
        <v>1317.2333333333333</v>
      </c>
    </row>
    <row r="341" spans="1:53">
      <c r="A341" s="380" t="s">
        <v>159</v>
      </c>
      <c r="B341" s="493" t="s">
        <v>771</v>
      </c>
      <c r="C341" s="492"/>
      <c r="D341" s="372">
        <v>197814</v>
      </c>
      <c r="E341" s="494">
        <v>10</v>
      </c>
      <c r="F341" s="296" t="s">
        <v>52</v>
      </c>
      <c r="G341" s="297" t="s">
        <v>52</v>
      </c>
      <c r="H341" s="298"/>
      <c r="I341" s="299"/>
      <c r="J341" s="298">
        <v>25142</v>
      </c>
      <c r="K341" s="299">
        <v>25427</v>
      </c>
      <c r="L341" s="298">
        <v>2369</v>
      </c>
      <c r="M341" s="299">
        <v>3654</v>
      </c>
      <c r="N341" s="298">
        <v>26351</v>
      </c>
      <c r="O341" s="299">
        <v>27340</v>
      </c>
      <c r="P341" s="601">
        <f t="shared" si="105"/>
        <v>53862</v>
      </c>
      <c r="Q341" s="602">
        <f t="shared" si="106"/>
        <v>1795.4</v>
      </c>
      <c r="R341" s="603">
        <f t="shared" si="107"/>
        <v>56421</v>
      </c>
      <c r="S341" s="604">
        <f t="shared" si="108"/>
        <v>1880.7</v>
      </c>
      <c r="T341" s="298">
        <v>2514</v>
      </c>
      <c r="U341" s="299">
        <v>3637</v>
      </c>
      <c r="V341" s="601">
        <f t="shared" si="109"/>
        <v>53862</v>
      </c>
      <c r="W341" s="605">
        <f t="shared" si="110"/>
        <v>56421</v>
      </c>
      <c r="X341" s="305"/>
      <c r="Y341" s="299"/>
      <c r="Z341" s="298"/>
      <c r="AA341" s="299"/>
      <c r="AB341" s="298"/>
      <c r="AC341" s="299"/>
      <c r="AD341" s="298"/>
      <c r="AE341" s="299"/>
      <c r="AF341" s="601">
        <f t="shared" si="111"/>
        <v>0</v>
      </c>
      <c r="AG341" s="602">
        <f t="shared" si="112"/>
        <v>0</v>
      </c>
      <c r="AH341" s="603">
        <f t="shared" si="113"/>
        <v>0</v>
      </c>
      <c r="AI341" s="603">
        <f t="shared" si="114"/>
        <v>0</v>
      </c>
      <c r="AJ341" s="298"/>
      <c r="AK341" s="299"/>
      <c r="AL341" s="601">
        <f t="shared" si="115"/>
        <v>0</v>
      </c>
      <c r="AM341" s="604">
        <f t="shared" si="116"/>
        <v>0</v>
      </c>
      <c r="AN341" s="306"/>
      <c r="AO341" s="307"/>
      <c r="AP341" s="298"/>
      <c r="AQ341" s="307"/>
      <c r="AR341" s="298"/>
      <c r="AS341" s="307"/>
      <c r="AT341" s="298"/>
      <c r="AU341" s="307"/>
      <c r="AV341" s="601">
        <f t="shared" si="117"/>
        <v>0</v>
      </c>
      <c r="AW341" s="609">
        <f t="shared" si="118"/>
        <v>0</v>
      </c>
      <c r="AX341" s="603">
        <f t="shared" si="119"/>
        <v>0</v>
      </c>
      <c r="AY341" s="610">
        <f t="shared" si="120"/>
        <v>0</v>
      </c>
      <c r="AZ341" s="611">
        <f t="shared" si="121"/>
        <v>1795.4</v>
      </c>
      <c r="BA341" s="603">
        <f t="shared" si="122"/>
        <v>1880.7</v>
      </c>
    </row>
    <row r="342" spans="1:53">
      <c r="A342" s="380" t="s">
        <v>159</v>
      </c>
      <c r="B342" s="373" t="s">
        <v>772</v>
      </c>
      <c r="C342" s="492"/>
      <c r="D342" s="372">
        <v>198640</v>
      </c>
      <c r="E342" s="372">
        <v>10</v>
      </c>
      <c r="F342" s="296" t="s">
        <v>52</v>
      </c>
      <c r="G342" s="297" t="s">
        <v>52</v>
      </c>
      <c r="H342" s="298"/>
      <c r="I342" s="299"/>
      <c r="J342" s="298">
        <v>18097</v>
      </c>
      <c r="K342" s="299">
        <v>17643</v>
      </c>
      <c r="L342" s="298">
        <v>3347</v>
      </c>
      <c r="M342" s="299">
        <v>2667</v>
      </c>
      <c r="N342" s="298">
        <v>18744</v>
      </c>
      <c r="O342" s="299">
        <v>16975</v>
      </c>
      <c r="P342" s="601">
        <f t="shared" si="105"/>
        <v>40188</v>
      </c>
      <c r="Q342" s="602">
        <f t="shared" si="106"/>
        <v>1339.6</v>
      </c>
      <c r="R342" s="603">
        <f t="shared" si="107"/>
        <v>37285</v>
      </c>
      <c r="S342" s="604">
        <f t="shared" si="108"/>
        <v>1242.8333333333333</v>
      </c>
      <c r="T342" s="298">
        <v>628</v>
      </c>
      <c r="U342" s="299">
        <v>864</v>
      </c>
      <c r="V342" s="601">
        <f t="shared" si="109"/>
        <v>40188</v>
      </c>
      <c r="W342" s="605">
        <f t="shared" si="110"/>
        <v>37285</v>
      </c>
      <c r="X342" s="305"/>
      <c r="Y342" s="299"/>
      <c r="Z342" s="298"/>
      <c r="AA342" s="299"/>
      <c r="AB342" s="298"/>
      <c r="AC342" s="299"/>
      <c r="AD342" s="298"/>
      <c r="AE342" s="299"/>
      <c r="AF342" s="601">
        <f t="shared" si="111"/>
        <v>0</v>
      </c>
      <c r="AG342" s="602">
        <f t="shared" si="112"/>
        <v>0</v>
      </c>
      <c r="AH342" s="603">
        <f t="shared" si="113"/>
        <v>0</v>
      </c>
      <c r="AI342" s="603">
        <f t="shared" si="114"/>
        <v>0</v>
      </c>
      <c r="AJ342" s="298"/>
      <c r="AK342" s="299"/>
      <c r="AL342" s="601">
        <f t="shared" si="115"/>
        <v>0</v>
      </c>
      <c r="AM342" s="604">
        <f t="shared" si="116"/>
        <v>0</v>
      </c>
      <c r="AN342" s="306"/>
      <c r="AO342" s="307"/>
      <c r="AP342" s="298"/>
      <c r="AQ342" s="307"/>
      <c r="AR342" s="298"/>
      <c r="AS342" s="307"/>
      <c r="AT342" s="298"/>
      <c r="AU342" s="307"/>
      <c r="AV342" s="601">
        <f t="shared" si="117"/>
        <v>0</v>
      </c>
      <c r="AW342" s="609">
        <f t="shared" si="118"/>
        <v>0</v>
      </c>
      <c r="AX342" s="603">
        <f t="shared" si="119"/>
        <v>0</v>
      </c>
      <c r="AY342" s="610">
        <f t="shared" si="120"/>
        <v>0</v>
      </c>
      <c r="AZ342" s="611">
        <f t="shared" si="121"/>
        <v>1339.6</v>
      </c>
      <c r="BA342" s="603">
        <f t="shared" si="122"/>
        <v>1242.8333333333333</v>
      </c>
    </row>
    <row r="343" spans="1:53">
      <c r="A343" s="380" t="s">
        <v>159</v>
      </c>
      <c r="B343" s="373" t="s">
        <v>773</v>
      </c>
      <c r="C343" s="492"/>
      <c r="D343" s="372">
        <v>198729</v>
      </c>
      <c r="E343" s="372">
        <v>10</v>
      </c>
      <c r="F343" s="296" t="s">
        <v>52</v>
      </c>
      <c r="G343" s="297" t="s">
        <v>52</v>
      </c>
      <c r="H343" s="298"/>
      <c r="I343" s="299"/>
      <c r="J343" s="298">
        <v>15432</v>
      </c>
      <c r="K343" s="299">
        <v>15512</v>
      </c>
      <c r="L343" s="298">
        <v>1990</v>
      </c>
      <c r="M343" s="299">
        <v>1354</v>
      </c>
      <c r="N343" s="298">
        <v>15432</v>
      </c>
      <c r="O343" s="299">
        <v>15505</v>
      </c>
      <c r="P343" s="601">
        <f t="shared" si="105"/>
        <v>32854</v>
      </c>
      <c r="Q343" s="602">
        <f t="shared" si="106"/>
        <v>1095.1333333333334</v>
      </c>
      <c r="R343" s="603">
        <f t="shared" si="107"/>
        <v>32371</v>
      </c>
      <c r="S343" s="604">
        <f t="shared" si="108"/>
        <v>1079.0333333333333</v>
      </c>
      <c r="T343" s="298">
        <v>3342</v>
      </c>
      <c r="U343" s="299">
        <v>3607</v>
      </c>
      <c r="V343" s="601">
        <f t="shared" si="109"/>
        <v>32854</v>
      </c>
      <c r="W343" s="605">
        <f t="shared" si="110"/>
        <v>32371</v>
      </c>
      <c r="X343" s="305"/>
      <c r="Y343" s="299"/>
      <c r="Z343" s="298"/>
      <c r="AA343" s="299"/>
      <c r="AB343" s="298"/>
      <c r="AC343" s="299"/>
      <c r="AD343" s="298"/>
      <c r="AE343" s="299"/>
      <c r="AF343" s="601">
        <f t="shared" si="111"/>
        <v>0</v>
      </c>
      <c r="AG343" s="602">
        <f t="shared" si="112"/>
        <v>0</v>
      </c>
      <c r="AH343" s="603">
        <f t="shared" si="113"/>
        <v>0</v>
      </c>
      <c r="AI343" s="603">
        <f t="shared" si="114"/>
        <v>0</v>
      </c>
      <c r="AJ343" s="298"/>
      <c r="AK343" s="299"/>
      <c r="AL343" s="601">
        <f t="shared" si="115"/>
        <v>0</v>
      </c>
      <c r="AM343" s="604">
        <f t="shared" si="116"/>
        <v>0</v>
      </c>
      <c r="AN343" s="306"/>
      <c r="AO343" s="307"/>
      <c r="AP343" s="298"/>
      <c r="AQ343" s="307"/>
      <c r="AR343" s="298"/>
      <c r="AS343" s="307"/>
      <c r="AT343" s="298"/>
      <c r="AU343" s="307"/>
      <c r="AV343" s="601">
        <f t="shared" si="117"/>
        <v>0</v>
      </c>
      <c r="AW343" s="609">
        <f t="shared" si="118"/>
        <v>0</v>
      </c>
      <c r="AX343" s="603">
        <f t="shared" si="119"/>
        <v>0</v>
      </c>
      <c r="AY343" s="610">
        <f t="shared" si="120"/>
        <v>0</v>
      </c>
      <c r="AZ343" s="611">
        <f t="shared" si="121"/>
        <v>1095.1333333333334</v>
      </c>
      <c r="BA343" s="603">
        <f t="shared" si="122"/>
        <v>1079.0333333333333</v>
      </c>
    </row>
    <row r="344" spans="1:53">
      <c r="A344" s="380" t="s">
        <v>159</v>
      </c>
      <c r="B344" s="373" t="s">
        <v>774</v>
      </c>
      <c r="C344" s="492"/>
      <c r="D344" s="372">
        <v>198905</v>
      </c>
      <c r="E344" s="372">
        <v>10</v>
      </c>
      <c r="F344" s="296" t="s">
        <v>52</v>
      </c>
      <c r="G344" s="297" t="s">
        <v>52</v>
      </c>
      <c r="H344" s="298"/>
      <c r="I344" s="299"/>
      <c r="J344" s="298">
        <v>7474</v>
      </c>
      <c r="K344" s="299">
        <v>8277</v>
      </c>
      <c r="L344" s="298">
        <v>557</v>
      </c>
      <c r="M344" s="299">
        <v>487</v>
      </c>
      <c r="N344" s="298">
        <v>8237</v>
      </c>
      <c r="O344" s="299">
        <v>8321</v>
      </c>
      <c r="P344" s="601">
        <f t="shared" si="105"/>
        <v>16268</v>
      </c>
      <c r="Q344" s="602">
        <f t="shared" si="106"/>
        <v>542.26666666666665</v>
      </c>
      <c r="R344" s="603">
        <f t="shared" si="107"/>
        <v>17085</v>
      </c>
      <c r="S344" s="604">
        <f t="shared" si="108"/>
        <v>569.5</v>
      </c>
      <c r="T344" s="298">
        <v>512</v>
      </c>
      <c r="U344" s="299">
        <v>667</v>
      </c>
      <c r="V344" s="601">
        <f t="shared" si="109"/>
        <v>16268</v>
      </c>
      <c r="W344" s="605">
        <f t="shared" si="110"/>
        <v>17085</v>
      </c>
      <c r="X344" s="305"/>
      <c r="Y344" s="299"/>
      <c r="Z344" s="298"/>
      <c r="AA344" s="299"/>
      <c r="AB344" s="298"/>
      <c r="AC344" s="299"/>
      <c r="AD344" s="298"/>
      <c r="AE344" s="299"/>
      <c r="AF344" s="601">
        <f t="shared" si="111"/>
        <v>0</v>
      </c>
      <c r="AG344" s="602">
        <f t="shared" si="112"/>
        <v>0</v>
      </c>
      <c r="AH344" s="603">
        <f t="shared" si="113"/>
        <v>0</v>
      </c>
      <c r="AI344" s="603">
        <f t="shared" si="114"/>
        <v>0</v>
      </c>
      <c r="AJ344" s="298"/>
      <c r="AK344" s="299"/>
      <c r="AL344" s="601">
        <f t="shared" si="115"/>
        <v>0</v>
      </c>
      <c r="AM344" s="604">
        <f t="shared" si="116"/>
        <v>0</v>
      </c>
      <c r="AN344" s="306"/>
      <c r="AO344" s="307"/>
      <c r="AP344" s="298"/>
      <c r="AQ344" s="307"/>
      <c r="AR344" s="298"/>
      <c r="AS344" s="307"/>
      <c r="AT344" s="298"/>
      <c r="AU344" s="307"/>
      <c r="AV344" s="601">
        <f t="shared" si="117"/>
        <v>0</v>
      </c>
      <c r="AW344" s="609">
        <f t="shared" si="118"/>
        <v>0</v>
      </c>
      <c r="AX344" s="603">
        <f t="shared" si="119"/>
        <v>0</v>
      </c>
      <c r="AY344" s="610">
        <f t="shared" si="120"/>
        <v>0</v>
      </c>
      <c r="AZ344" s="611">
        <f t="shared" si="121"/>
        <v>542.26666666666665</v>
      </c>
      <c r="BA344" s="603">
        <f t="shared" si="122"/>
        <v>569.5</v>
      </c>
    </row>
    <row r="345" spans="1:53">
      <c r="A345" s="380" t="s">
        <v>159</v>
      </c>
      <c r="B345" s="493" t="s">
        <v>775</v>
      </c>
      <c r="C345" s="492"/>
      <c r="D345" s="372">
        <v>198914</v>
      </c>
      <c r="E345" s="494">
        <v>10</v>
      </c>
      <c r="F345" s="296" t="s">
        <v>52</v>
      </c>
      <c r="G345" s="297" t="s">
        <v>52</v>
      </c>
      <c r="H345" s="298"/>
      <c r="I345" s="299"/>
      <c r="J345" s="298">
        <v>14330</v>
      </c>
      <c r="K345" s="299">
        <v>10602</v>
      </c>
      <c r="L345" s="298">
        <v>2475</v>
      </c>
      <c r="M345" s="299">
        <v>739</v>
      </c>
      <c r="N345" s="298">
        <v>12030</v>
      </c>
      <c r="O345" s="299">
        <v>10627</v>
      </c>
      <c r="P345" s="601">
        <f t="shared" si="105"/>
        <v>28835</v>
      </c>
      <c r="Q345" s="602">
        <f t="shared" si="106"/>
        <v>961.16666666666663</v>
      </c>
      <c r="R345" s="603">
        <f t="shared" si="107"/>
        <v>21968</v>
      </c>
      <c r="S345" s="604">
        <f t="shared" si="108"/>
        <v>732.26666666666665</v>
      </c>
      <c r="T345" s="298">
        <v>5376</v>
      </c>
      <c r="U345" s="299">
        <v>4794</v>
      </c>
      <c r="V345" s="601">
        <f t="shared" si="109"/>
        <v>28835</v>
      </c>
      <c r="W345" s="605">
        <f t="shared" si="110"/>
        <v>21968</v>
      </c>
      <c r="X345" s="305"/>
      <c r="Y345" s="299"/>
      <c r="Z345" s="298"/>
      <c r="AA345" s="299"/>
      <c r="AB345" s="298"/>
      <c r="AC345" s="299"/>
      <c r="AD345" s="298"/>
      <c r="AE345" s="299"/>
      <c r="AF345" s="601">
        <f t="shared" si="111"/>
        <v>0</v>
      </c>
      <c r="AG345" s="602">
        <f t="shared" si="112"/>
        <v>0</v>
      </c>
      <c r="AH345" s="603">
        <f t="shared" si="113"/>
        <v>0</v>
      </c>
      <c r="AI345" s="603">
        <f t="shared" si="114"/>
        <v>0</v>
      </c>
      <c r="AJ345" s="298"/>
      <c r="AK345" s="299"/>
      <c r="AL345" s="601">
        <f t="shared" si="115"/>
        <v>0</v>
      </c>
      <c r="AM345" s="604">
        <f t="shared" si="116"/>
        <v>0</v>
      </c>
      <c r="AN345" s="306"/>
      <c r="AO345" s="307"/>
      <c r="AP345" s="298"/>
      <c r="AQ345" s="307"/>
      <c r="AR345" s="298"/>
      <c r="AS345" s="307"/>
      <c r="AT345" s="298"/>
      <c r="AU345" s="307"/>
      <c r="AV345" s="601">
        <f t="shared" si="117"/>
        <v>0</v>
      </c>
      <c r="AW345" s="609">
        <f t="shared" si="118"/>
        <v>0</v>
      </c>
      <c r="AX345" s="603">
        <f t="shared" si="119"/>
        <v>0</v>
      </c>
      <c r="AY345" s="610">
        <f t="shared" si="120"/>
        <v>0</v>
      </c>
      <c r="AZ345" s="611">
        <f t="shared" si="121"/>
        <v>961.16666666666663</v>
      </c>
      <c r="BA345" s="603">
        <f t="shared" si="122"/>
        <v>732.26666666666665</v>
      </c>
    </row>
    <row r="346" spans="1:53">
      <c r="A346" s="380" t="s">
        <v>159</v>
      </c>
      <c r="B346" s="373" t="s">
        <v>776</v>
      </c>
      <c r="C346" s="492"/>
      <c r="D346" s="372">
        <v>198923</v>
      </c>
      <c r="E346" s="372">
        <v>10</v>
      </c>
      <c r="F346" s="296" t="s">
        <v>52</v>
      </c>
      <c r="G346" s="297" t="s">
        <v>52</v>
      </c>
      <c r="H346" s="298"/>
      <c r="I346" s="299"/>
      <c r="J346" s="298">
        <v>14995</v>
      </c>
      <c r="K346" s="299">
        <v>13314</v>
      </c>
      <c r="L346" s="298">
        <v>6649</v>
      </c>
      <c r="M346" s="299">
        <v>5164</v>
      </c>
      <c r="N346" s="298">
        <v>15283</v>
      </c>
      <c r="O346" s="299">
        <v>12402</v>
      </c>
      <c r="P346" s="601">
        <f t="shared" si="105"/>
        <v>36927</v>
      </c>
      <c r="Q346" s="602">
        <f t="shared" si="106"/>
        <v>1230.9000000000001</v>
      </c>
      <c r="R346" s="603">
        <f t="shared" si="107"/>
        <v>30880</v>
      </c>
      <c r="S346" s="604">
        <f t="shared" si="108"/>
        <v>1029.3333333333333</v>
      </c>
      <c r="T346" s="298">
        <v>3229</v>
      </c>
      <c r="U346" s="299">
        <v>2538</v>
      </c>
      <c r="V346" s="601">
        <f t="shared" si="109"/>
        <v>36927</v>
      </c>
      <c r="W346" s="605">
        <f t="shared" si="110"/>
        <v>30880</v>
      </c>
      <c r="X346" s="305"/>
      <c r="Y346" s="299"/>
      <c r="Z346" s="298"/>
      <c r="AA346" s="299"/>
      <c r="AB346" s="298"/>
      <c r="AC346" s="299"/>
      <c r="AD346" s="298"/>
      <c r="AE346" s="299"/>
      <c r="AF346" s="601">
        <f t="shared" si="111"/>
        <v>0</v>
      </c>
      <c r="AG346" s="602">
        <f t="shared" si="112"/>
        <v>0</v>
      </c>
      <c r="AH346" s="603">
        <f t="shared" si="113"/>
        <v>0</v>
      </c>
      <c r="AI346" s="603">
        <f t="shared" si="114"/>
        <v>0</v>
      </c>
      <c r="AJ346" s="298"/>
      <c r="AK346" s="299"/>
      <c r="AL346" s="601">
        <f t="shared" si="115"/>
        <v>0</v>
      </c>
      <c r="AM346" s="604">
        <f t="shared" si="116"/>
        <v>0</v>
      </c>
      <c r="AN346" s="306"/>
      <c r="AO346" s="307"/>
      <c r="AP346" s="298"/>
      <c r="AQ346" s="307"/>
      <c r="AR346" s="298"/>
      <c r="AS346" s="307"/>
      <c r="AT346" s="298"/>
      <c r="AU346" s="307"/>
      <c r="AV346" s="601">
        <f t="shared" si="117"/>
        <v>0</v>
      </c>
      <c r="AW346" s="609">
        <f t="shared" si="118"/>
        <v>0</v>
      </c>
      <c r="AX346" s="603">
        <f t="shared" si="119"/>
        <v>0</v>
      </c>
      <c r="AY346" s="610">
        <f t="shared" si="120"/>
        <v>0</v>
      </c>
      <c r="AZ346" s="611">
        <f t="shared" si="121"/>
        <v>1230.9000000000001</v>
      </c>
      <c r="BA346" s="603">
        <f t="shared" si="122"/>
        <v>1029.3333333333333</v>
      </c>
    </row>
    <row r="347" spans="1:53">
      <c r="A347" s="380" t="s">
        <v>159</v>
      </c>
      <c r="B347" s="373" t="s">
        <v>777</v>
      </c>
      <c r="C347" s="492"/>
      <c r="D347" s="372">
        <v>199023</v>
      </c>
      <c r="E347" s="372">
        <v>10</v>
      </c>
      <c r="F347" s="296" t="s">
        <v>52</v>
      </c>
      <c r="G347" s="297" t="s">
        <v>52</v>
      </c>
      <c r="H347" s="298"/>
      <c r="I347" s="299"/>
      <c r="J347" s="298">
        <v>9177</v>
      </c>
      <c r="K347" s="299">
        <v>8089</v>
      </c>
      <c r="L347" s="298">
        <v>2140</v>
      </c>
      <c r="M347" s="299">
        <v>2545</v>
      </c>
      <c r="N347" s="298">
        <v>8478</v>
      </c>
      <c r="O347" s="299">
        <v>7871</v>
      </c>
      <c r="P347" s="601">
        <f t="shared" si="105"/>
        <v>19795</v>
      </c>
      <c r="Q347" s="602">
        <f t="shared" si="106"/>
        <v>659.83333333333337</v>
      </c>
      <c r="R347" s="603">
        <f t="shared" si="107"/>
        <v>18505</v>
      </c>
      <c r="S347" s="604">
        <f t="shared" si="108"/>
        <v>616.83333333333337</v>
      </c>
      <c r="T347" s="298">
        <v>1028</v>
      </c>
      <c r="U347" s="299">
        <v>629</v>
      </c>
      <c r="V347" s="601">
        <f t="shared" si="109"/>
        <v>19795</v>
      </c>
      <c r="W347" s="605">
        <f t="shared" si="110"/>
        <v>18505</v>
      </c>
      <c r="X347" s="305"/>
      <c r="Y347" s="299"/>
      <c r="Z347" s="298"/>
      <c r="AA347" s="299"/>
      <c r="AB347" s="298"/>
      <c r="AC347" s="299"/>
      <c r="AD347" s="298"/>
      <c r="AE347" s="299"/>
      <c r="AF347" s="601">
        <f t="shared" si="111"/>
        <v>0</v>
      </c>
      <c r="AG347" s="602">
        <f t="shared" si="112"/>
        <v>0</v>
      </c>
      <c r="AH347" s="603">
        <f t="shared" si="113"/>
        <v>0</v>
      </c>
      <c r="AI347" s="603">
        <f t="shared" si="114"/>
        <v>0</v>
      </c>
      <c r="AJ347" s="298"/>
      <c r="AK347" s="299"/>
      <c r="AL347" s="601">
        <f t="shared" si="115"/>
        <v>0</v>
      </c>
      <c r="AM347" s="604">
        <f t="shared" si="116"/>
        <v>0</v>
      </c>
      <c r="AN347" s="306"/>
      <c r="AO347" s="307"/>
      <c r="AP347" s="298"/>
      <c r="AQ347" s="307"/>
      <c r="AR347" s="298"/>
      <c r="AS347" s="307"/>
      <c r="AT347" s="298"/>
      <c r="AU347" s="307"/>
      <c r="AV347" s="601">
        <f t="shared" si="117"/>
        <v>0</v>
      </c>
      <c r="AW347" s="609">
        <f t="shared" si="118"/>
        <v>0</v>
      </c>
      <c r="AX347" s="603">
        <f t="shared" si="119"/>
        <v>0</v>
      </c>
      <c r="AY347" s="610">
        <f t="shared" si="120"/>
        <v>0</v>
      </c>
      <c r="AZ347" s="611">
        <f t="shared" si="121"/>
        <v>659.83333333333337</v>
      </c>
      <c r="BA347" s="603">
        <f t="shared" si="122"/>
        <v>616.83333333333337</v>
      </c>
    </row>
    <row r="348" spans="1:53">
      <c r="A348" s="380" t="s">
        <v>159</v>
      </c>
      <c r="B348" s="373" t="s">
        <v>778</v>
      </c>
      <c r="C348" s="492"/>
      <c r="D348" s="372">
        <v>199263</v>
      </c>
      <c r="E348" s="372">
        <v>10</v>
      </c>
      <c r="F348" s="296" t="s">
        <v>52</v>
      </c>
      <c r="G348" s="297" t="s">
        <v>52</v>
      </c>
      <c r="H348" s="298"/>
      <c r="I348" s="299"/>
      <c r="J348" s="298">
        <v>5934</v>
      </c>
      <c r="K348" s="299">
        <v>6022</v>
      </c>
      <c r="L348" s="298">
        <v>920</v>
      </c>
      <c r="M348" s="299">
        <v>841</v>
      </c>
      <c r="N348" s="298">
        <v>5849</v>
      </c>
      <c r="O348" s="299">
        <v>4360</v>
      </c>
      <c r="P348" s="601">
        <f t="shared" si="105"/>
        <v>12703</v>
      </c>
      <c r="Q348" s="602">
        <f t="shared" si="106"/>
        <v>423.43333333333334</v>
      </c>
      <c r="R348" s="603">
        <f t="shared" si="107"/>
        <v>11223</v>
      </c>
      <c r="S348" s="604">
        <f t="shared" si="108"/>
        <v>374.1</v>
      </c>
      <c r="T348" s="298">
        <v>1938</v>
      </c>
      <c r="U348" s="299">
        <v>2068</v>
      </c>
      <c r="V348" s="601">
        <f t="shared" si="109"/>
        <v>12703</v>
      </c>
      <c r="W348" s="605">
        <f t="shared" si="110"/>
        <v>11223</v>
      </c>
      <c r="X348" s="305"/>
      <c r="Y348" s="299"/>
      <c r="Z348" s="298"/>
      <c r="AA348" s="299"/>
      <c r="AB348" s="298"/>
      <c r="AC348" s="299"/>
      <c r="AD348" s="298"/>
      <c r="AE348" s="299"/>
      <c r="AF348" s="601">
        <f t="shared" si="111"/>
        <v>0</v>
      </c>
      <c r="AG348" s="602">
        <f t="shared" si="112"/>
        <v>0</v>
      </c>
      <c r="AH348" s="603">
        <f t="shared" si="113"/>
        <v>0</v>
      </c>
      <c r="AI348" s="603">
        <f t="shared" si="114"/>
        <v>0</v>
      </c>
      <c r="AJ348" s="298"/>
      <c r="AK348" s="299"/>
      <c r="AL348" s="601">
        <f t="shared" si="115"/>
        <v>0</v>
      </c>
      <c r="AM348" s="604">
        <f t="shared" si="116"/>
        <v>0</v>
      </c>
      <c r="AN348" s="306"/>
      <c r="AO348" s="307"/>
      <c r="AP348" s="298"/>
      <c r="AQ348" s="307"/>
      <c r="AR348" s="298"/>
      <c r="AS348" s="307"/>
      <c r="AT348" s="298"/>
      <c r="AU348" s="307"/>
      <c r="AV348" s="601">
        <f t="shared" si="117"/>
        <v>0</v>
      </c>
      <c r="AW348" s="609">
        <f t="shared" si="118"/>
        <v>0</v>
      </c>
      <c r="AX348" s="603">
        <f t="shared" si="119"/>
        <v>0</v>
      </c>
      <c r="AY348" s="610">
        <f t="shared" si="120"/>
        <v>0</v>
      </c>
      <c r="AZ348" s="611">
        <f t="shared" si="121"/>
        <v>423.43333333333334</v>
      </c>
      <c r="BA348" s="603">
        <f t="shared" si="122"/>
        <v>374.1</v>
      </c>
    </row>
    <row r="349" spans="1:53">
      <c r="A349" s="380" t="s">
        <v>159</v>
      </c>
      <c r="B349" s="493" t="s">
        <v>779</v>
      </c>
      <c r="C349" s="492"/>
      <c r="D349" s="372">
        <v>199324</v>
      </c>
      <c r="E349" s="494">
        <v>10</v>
      </c>
      <c r="F349" s="296" t="s">
        <v>52</v>
      </c>
      <c r="G349" s="297" t="s">
        <v>52</v>
      </c>
      <c r="H349" s="298"/>
      <c r="I349" s="299"/>
      <c r="J349" s="298">
        <v>25865</v>
      </c>
      <c r="K349" s="299">
        <v>23378</v>
      </c>
      <c r="L349" s="298">
        <v>3964</v>
      </c>
      <c r="M349" s="299">
        <v>1627</v>
      </c>
      <c r="N349" s="298">
        <v>25693</v>
      </c>
      <c r="O349" s="299">
        <v>20981</v>
      </c>
      <c r="P349" s="601">
        <f t="shared" si="105"/>
        <v>55522</v>
      </c>
      <c r="Q349" s="602">
        <f t="shared" si="106"/>
        <v>1850.7333333333333</v>
      </c>
      <c r="R349" s="603">
        <f t="shared" si="107"/>
        <v>45986</v>
      </c>
      <c r="S349" s="604">
        <f t="shared" si="108"/>
        <v>1532.8666666666666</v>
      </c>
      <c r="T349" s="298">
        <v>7831</v>
      </c>
      <c r="U349" s="299">
        <v>6625</v>
      </c>
      <c r="V349" s="601">
        <f t="shared" si="109"/>
        <v>55522</v>
      </c>
      <c r="W349" s="605">
        <f t="shared" si="110"/>
        <v>45986</v>
      </c>
      <c r="X349" s="305"/>
      <c r="Y349" s="299"/>
      <c r="Z349" s="298"/>
      <c r="AA349" s="299"/>
      <c r="AB349" s="298"/>
      <c r="AC349" s="299"/>
      <c r="AD349" s="298"/>
      <c r="AE349" s="299"/>
      <c r="AF349" s="601">
        <f t="shared" si="111"/>
        <v>0</v>
      </c>
      <c r="AG349" s="602">
        <f t="shared" si="112"/>
        <v>0</v>
      </c>
      <c r="AH349" s="603">
        <f t="shared" si="113"/>
        <v>0</v>
      </c>
      <c r="AI349" s="603">
        <f t="shared" si="114"/>
        <v>0</v>
      </c>
      <c r="AJ349" s="298"/>
      <c r="AK349" s="299"/>
      <c r="AL349" s="601">
        <f t="shared" si="115"/>
        <v>0</v>
      </c>
      <c r="AM349" s="604">
        <f t="shared" si="116"/>
        <v>0</v>
      </c>
      <c r="AN349" s="306"/>
      <c r="AO349" s="307"/>
      <c r="AP349" s="298"/>
      <c r="AQ349" s="307"/>
      <c r="AR349" s="298"/>
      <c r="AS349" s="307"/>
      <c r="AT349" s="298"/>
      <c r="AU349" s="307"/>
      <c r="AV349" s="601">
        <f t="shared" si="117"/>
        <v>0</v>
      </c>
      <c r="AW349" s="609">
        <f t="shared" si="118"/>
        <v>0</v>
      </c>
      <c r="AX349" s="603">
        <f t="shared" si="119"/>
        <v>0</v>
      </c>
      <c r="AY349" s="610">
        <f t="shared" si="120"/>
        <v>0</v>
      </c>
      <c r="AZ349" s="611">
        <f t="shared" si="121"/>
        <v>1850.7333333333333</v>
      </c>
      <c r="BA349" s="603">
        <f t="shared" si="122"/>
        <v>1532.8666666666666</v>
      </c>
    </row>
    <row r="350" spans="1:53">
      <c r="A350" s="380" t="s">
        <v>159</v>
      </c>
      <c r="B350" s="493" t="s">
        <v>780</v>
      </c>
      <c r="C350" s="492"/>
      <c r="D350" s="372">
        <v>199449</v>
      </c>
      <c r="E350" s="494">
        <v>10</v>
      </c>
      <c r="F350" s="296" t="s">
        <v>52</v>
      </c>
      <c r="G350" s="297" t="s">
        <v>52</v>
      </c>
      <c r="H350" s="298"/>
      <c r="I350" s="299"/>
      <c r="J350" s="298">
        <v>16712</v>
      </c>
      <c r="K350" s="299">
        <v>20054</v>
      </c>
      <c r="L350" s="298">
        <v>3670</v>
      </c>
      <c r="M350" s="299">
        <v>5547</v>
      </c>
      <c r="N350" s="298">
        <v>19661</v>
      </c>
      <c r="O350" s="299">
        <v>25683</v>
      </c>
      <c r="P350" s="601">
        <f t="shared" si="105"/>
        <v>40043</v>
      </c>
      <c r="Q350" s="602">
        <f t="shared" si="106"/>
        <v>1334.7666666666667</v>
      </c>
      <c r="R350" s="603">
        <f t="shared" si="107"/>
        <v>51284</v>
      </c>
      <c r="S350" s="604">
        <f t="shared" si="108"/>
        <v>1709.4666666666667</v>
      </c>
      <c r="T350" s="298">
        <v>3054</v>
      </c>
      <c r="U350" s="299">
        <v>4749</v>
      </c>
      <c r="V350" s="601">
        <f t="shared" si="109"/>
        <v>40043</v>
      </c>
      <c r="W350" s="605">
        <f t="shared" si="110"/>
        <v>51284</v>
      </c>
      <c r="X350" s="305"/>
      <c r="Y350" s="299"/>
      <c r="Z350" s="298"/>
      <c r="AA350" s="299"/>
      <c r="AB350" s="298"/>
      <c r="AC350" s="299"/>
      <c r="AD350" s="298"/>
      <c r="AE350" s="299"/>
      <c r="AF350" s="601">
        <f t="shared" si="111"/>
        <v>0</v>
      </c>
      <c r="AG350" s="602">
        <f t="shared" si="112"/>
        <v>0</v>
      </c>
      <c r="AH350" s="603">
        <f t="shared" si="113"/>
        <v>0</v>
      </c>
      <c r="AI350" s="603">
        <f t="shared" si="114"/>
        <v>0</v>
      </c>
      <c r="AJ350" s="298"/>
      <c r="AK350" s="299"/>
      <c r="AL350" s="601">
        <f t="shared" si="115"/>
        <v>0</v>
      </c>
      <c r="AM350" s="604">
        <f t="shared" si="116"/>
        <v>0</v>
      </c>
      <c r="AN350" s="306"/>
      <c r="AO350" s="307"/>
      <c r="AP350" s="298"/>
      <c r="AQ350" s="307"/>
      <c r="AR350" s="298"/>
      <c r="AS350" s="307"/>
      <c r="AT350" s="298"/>
      <c r="AU350" s="307"/>
      <c r="AV350" s="601">
        <f t="shared" si="117"/>
        <v>0</v>
      </c>
      <c r="AW350" s="609">
        <f t="shared" si="118"/>
        <v>0</v>
      </c>
      <c r="AX350" s="603">
        <f t="shared" si="119"/>
        <v>0</v>
      </c>
      <c r="AY350" s="610">
        <f t="shared" si="120"/>
        <v>0</v>
      </c>
      <c r="AZ350" s="611">
        <f t="shared" si="121"/>
        <v>1334.7666666666667</v>
      </c>
      <c r="BA350" s="603">
        <f t="shared" si="122"/>
        <v>1709.4666666666667</v>
      </c>
    </row>
    <row r="351" spans="1:53">
      <c r="A351" s="380" t="s">
        <v>159</v>
      </c>
      <c r="B351" s="373" t="s">
        <v>781</v>
      </c>
      <c r="C351" s="492"/>
      <c r="D351" s="372">
        <v>199467</v>
      </c>
      <c r="E351" s="372">
        <v>10</v>
      </c>
      <c r="F351" s="296" t="s">
        <v>52</v>
      </c>
      <c r="G351" s="297" t="s">
        <v>52</v>
      </c>
      <c r="H351" s="298"/>
      <c r="I351" s="299"/>
      <c r="J351" s="298">
        <v>8684</v>
      </c>
      <c r="K351" s="299">
        <v>9253</v>
      </c>
      <c r="L351" s="298">
        <v>168</v>
      </c>
      <c r="M351" s="299">
        <v>12</v>
      </c>
      <c r="N351" s="298">
        <v>9026</v>
      </c>
      <c r="O351" s="299">
        <v>9465</v>
      </c>
      <c r="P351" s="601">
        <f t="shared" si="105"/>
        <v>17878</v>
      </c>
      <c r="Q351" s="602">
        <f t="shared" si="106"/>
        <v>595.93333333333328</v>
      </c>
      <c r="R351" s="603">
        <f t="shared" si="107"/>
        <v>18730</v>
      </c>
      <c r="S351" s="604">
        <f t="shared" si="108"/>
        <v>624.33333333333337</v>
      </c>
      <c r="T351" s="298">
        <v>1481</v>
      </c>
      <c r="U351" s="299">
        <v>1996</v>
      </c>
      <c r="V351" s="601">
        <f t="shared" si="109"/>
        <v>17878</v>
      </c>
      <c r="W351" s="605">
        <f t="shared" si="110"/>
        <v>18730</v>
      </c>
      <c r="X351" s="305"/>
      <c r="Y351" s="299"/>
      <c r="Z351" s="298"/>
      <c r="AA351" s="299"/>
      <c r="AB351" s="298"/>
      <c r="AC351" s="299"/>
      <c r="AD351" s="298"/>
      <c r="AE351" s="299"/>
      <c r="AF351" s="601">
        <f t="shared" si="111"/>
        <v>0</v>
      </c>
      <c r="AG351" s="602">
        <f t="shared" si="112"/>
        <v>0</v>
      </c>
      <c r="AH351" s="603">
        <f t="shared" si="113"/>
        <v>0</v>
      </c>
      <c r="AI351" s="603">
        <f t="shared" si="114"/>
        <v>0</v>
      </c>
      <c r="AJ351" s="298"/>
      <c r="AK351" s="299"/>
      <c r="AL351" s="601">
        <f t="shared" si="115"/>
        <v>0</v>
      </c>
      <c r="AM351" s="604">
        <f t="shared" si="116"/>
        <v>0</v>
      </c>
      <c r="AN351" s="306"/>
      <c r="AO351" s="307"/>
      <c r="AP351" s="298"/>
      <c r="AQ351" s="307"/>
      <c r="AR351" s="298"/>
      <c r="AS351" s="307"/>
      <c r="AT351" s="298"/>
      <c r="AU351" s="307"/>
      <c r="AV351" s="601">
        <f t="shared" si="117"/>
        <v>0</v>
      </c>
      <c r="AW351" s="609">
        <f t="shared" si="118"/>
        <v>0</v>
      </c>
      <c r="AX351" s="603">
        <f t="shared" si="119"/>
        <v>0</v>
      </c>
      <c r="AY351" s="610">
        <f t="shared" si="120"/>
        <v>0</v>
      </c>
      <c r="AZ351" s="611">
        <f t="shared" si="121"/>
        <v>595.93333333333328</v>
      </c>
      <c r="BA351" s="603">
        <f t="shared" si="122"/>
        <v>624.33333333333337</v>
      </c>
    </row>
    <row r="352" spans="1:53">
      <c r="A352" s="380" t="s">
        <v>159</v>
      </c>
      <c r="B352" s="493" t="s">
        <v>782</v>
      </c>
      <c r="C352" s="492"/>
      <c r="D352" s="372">
        <v>199485</v>
      </c>
      <c r="E352" s="494">
        <v>10</v>
      </c>
      <c r="F352" s="296" t="s">
        <v>52</v>
      </c>
      <c r="G352" s="297" t="s">
        <v>52</v>
      </c>
      <c r="H352" s="298"/>
      <c r="I352" s="299"/>
      <c r="J352" s="298">
        <v>23243</v>
      </c>
      <c r="K352" s="299">
        <v>23120</v>
      </c>
      <c r="L352" s="298">
        <v>5276</v>
      </c>
      <c r="M352" s="299">
        <v>5094</v>
      </c>
      <c r="N352" s="298">
        <v>24888</v>
      </c>
      <c r="O352" s="299">
        <v>22961</v>
      </c>
      <c r="P352" s="601">
        <f t="shared" si="105"/>
        <v>53407</v>
      </c>
      <c r="Q352" s="602">
        <f t="shared" si="106"/>
        <v>1780.2333333333333</v>
      </c>
      <c r="R352" s="603">
        <f t="shared" si="107"/>
        <v>51175</v>
      </c>
      <c r="S352" s="604">
        <f t="shared" si="108"/>
        <v>1705.8333333333333</v>
      </c>
      <c r="T352" s="298">
        <v>1546</v>
      </c>
      <c r="U352" s="299">
        <v>2020</v>
      </c>
      <c r="V352" s="601">
        <f t="shared" si="109"/>
        <v>53407</v>
      </c>
      <c r="W352" s="605">
        <f t="shared" si="110"/>
        <v>51175</v>
      </c>
      <c r="X352" s="305"/>
      <c r="Y352" s="299"/>
      <c r="Z352" s="298"/>
      <c r="AA352" s="299"/>
      <c r="AB352" s="298"/>
      <c r="AC352" s="299"/>
      <c r="AD352" s="298"/>
      <c r="AE352" s="299"/>
      <c r="AF352" s="601">
        <f t="shared" si="111"/>
        <v>0</v>
      </c>
      <c r="AG352" s="602">
        <f t="shared" si="112"/>
        <v>0</v>
      </c>
      <c r="AH352" s="603">
        <f t="shared" si="113"/>
        <v>0</v>
      </c>
      <c r="AI352" s="603">
        <f t="shared" si="114"/>
        <v>0</v>
      </c>
      <c r="AJ352" s="298"/>
      <c r="AK352" s="299"/>
      <c r="AL352" s="601">
        <f t="shared" si="115"/>
        <v>0</v>
      </c>
      <c r="AM352" s="604">
        <f t="shared" si="116"/>
        <v>0</v>
      </c>
      <c r="AN352" s="306"/>
      <c r="AO352" s="307"/>
      <c r="AP352" s="298"/>
      <c r="AQ352" s="307"/>
      <c r="AR352" s="298"/>
      <c r="AS352" s="307"/>
      <c r="AT352" s="298"/>
      <c r="AU352" s="307"/>
      <c r="AV352" s="601">
        <f t="shared" si="117"/>
        <v>0</v>
      </c>
      <c r="AW352" s="609">
        <f t="shared" si="118"/>
        <v>0</v>
      </c>
      <c r="AX352" s="603">
        <f t="shared" si="119"/>
        <v>0</v>
      </c>
      <c r="AY352" s="610">
        <f t="shared" si="120"/>
        <v>0</v>
      </c>
      <c r="AZ352" s="611">
        <f t="shared" si="121"/>
        <v>1780.2333333333333</v>
      </c>
      <c r="BA352" s="603">
        <f t="shared" si="122"/>
        <v>1705.8333333333333</v>
      </c>
    </row>
    <row r="353" spans="1:53">
      <c r="A353" s="380" t="s">
        <v>159</v>
      </c>
      <c r="B353" s="373" t="s">
        <v>783</v>
      </c>
      <c r="C353" s="492"/>
      <c r="D353" s="372">
        <v>199625</v>
      </c>
      <c r="E353" s="372">
        <v>10</v>
      </c>
      <c r="F353" s="296" t="s">
        <v>52</v>
      </c>
      <c r="G353" s="297" t="s">
        <v>52</v>
      </c>
      <c r="H353" s="298"/>
      <c r="I353" s="299"/>
      <c r="J353" s="298">
        <v>15956</v>
      </c>
      <c r="K353" s="299">
        <v>15383</v>
      </c>
      <c r="L353" s="298">
        <v>1366</v>
      </c>
      <c r="M353" s="299">
        <v>921</v>
      </c>
      <c r="N353" s="298">
        <v>16239</v>
      </c>
      <c r="O353" s="299">
        <v>15842</v>
      </c>
      <c r="P353" s="601">
        <f t="shared" si="105"/>
        <v>33561</v>
      </c>
      <c r="Q353" s="602">
        <f t="shared" si="106"/>
        <v>1118.7</v>
      </c>
      <c r="R353" s="603">
        <f t="shared" si="107"/>
        <v>32146</v>
      </c>
      <c r="S353" s="604">
        <f t="shared" si="108"/>
        <v>1071.5333333333333</v>
      </c>
      <c r="T353" s="298">
        <v>3862</v>
      </c>
      <c r="U353" s="299">
        <v>3463</v>
      </c>
      <c r="V353" s="601">
        <f t="shared" si="109"/>
        <v>33561</v>
      </c>
      <c r="W353" s="605">
        <f t="shared" si="110"/>
        <v>32146</v>
      </c>
      <c r="X353" s="305"/>
      <c r="Y353" s="299"/>
      <c r="Z353" s="298"/>
      <c r="AA353" s="299"/>
      <c r="AB353" s="298"/>
      <c r="AC353" s="299"/>
      <c r="AD353" s="298"/>
      <c r="AE353" s="299"/>
      <c r="AF353" s="601">
        <f t="shared" si="111"/>
        <v>0</v>
      </c>
      <c r="AG353" s="602">
        <f t="shared" si="112"/>
        <v>0</v>
      </c>
      <c r="AH353" s="603">
        <f t="shared" si="113"/>
        <v>0</v>
      </c>
      <c r="AI353" s="603">
        <f t="shared" si="114"/>
        <v>0</v>
      </c>
      <c r="AJ353" s="298"/>
      <c r="AK353" s="299"/>
      <c r="AL353" s="601">
        <f t="shared" si="115"/>
        <v>0</v>
      </c>
      <c r="AM353" s="604">
        <f t="shared" si="116"/>
        <v>0</v>
      </c>
      <c r="AN353" s="306"/>
      <c r="AO353" s="307"/>
      <c r="AP353" s="298"/>
      <c r="AQ353" s="307"/>
      <c r="AR353" s="298"/>
      <c r="AS353" s="307"/>
      <c r="AT353" s="298"/>
      <c r="AU353" s="307"/>
      <c r="AV353" s="601">
        <f t="shared" si="117"/>
        <v>0</v>
      </c>
      <c r="AW353" s="609">
        <f t="shared" si="118"/>
        <v>0</v>
      </c>
      <c r="AX353" s="603">
        <f t="shared" si="119"/>
        <v>0</v>
      </c>
      <c r="AY353" s="610">
        <f t="shared" si="120"/>
        <v>0</v>
      </c>
      <c r="AZ353" s="611">
        <f t="shared" si="121"/>
        <v>1118.7</v>
      </c>
      <c r="BA353" s="603">
        <f t="shared" si="122"/>
        <v>1071.5333333333333</v>
      </c>
    </row>
    <row r="354" spans="1:53">
      <c r="A354" s="380" t="s">
        <v>159</v>
      </c>
      <c r="B354" s="493" t="s">
        <v>784</v>
      </c>
      <c r="C354" s="492"/>
      <c r="D354" s="372">
        <v>197850</v>
      </c>
      <c r="E354" s="494">
        <v>10</v>
      </c>
      <c r="F354" s="296" t="s">
        <v>52</v>
      </c>
      <c r="G354" s="297" t="s">
        <v>52</v>
      </c>
      <c r="H354" s="298"/>
      <c r="I354" s="299"/>
      <c r="J354" s="298">
        <v>24291</v>
      </c>
      <c r="K354" s="299">
        <v>22358</v>
      </c>
      <c r="L354" s="298">
        <v>4058</v>
      </c>
      <c r="M354" s="299">
        <v>3778</v>
      </c>
      <c r="N354" s="298">
        <v>24924</v>
      </c>
      <c r="O354" s="299">
        <v>22836</v>
      </c>
      <c r="P354" s="601">
        <f t="shared" si="105"/>
        <v>53273</v>
      </c>
      <c r="Q354" s="602">
        <f t="shared" si="106"/>
        <v>1775.7666666666667</v>
      </c>
      <c r="R354" s="603">
        <f t="shared" si="107"/>
        <v>48972</v>
      </c>
      <c r="S354" s="604">
        <f t="shared" si="108"/>
        <v>1632.4</v>
      </c>
      <c r="T354" s="298">
        <v>6205</v>
      </c>
      <c r="U354" s="299">
        <v>6184</v>
      </c>
      <c r="V354" s="601">
        <f t="shared" si="109"/>
        <v>53273</v>
      </c>
      <c r="W354" s="605">
        <f t="shared" si="110"/>
        <v>48972</v>
      </c>
      <c r="X354" s="305"/>
      <c r="Y354" s="299"/>
      <c r="Z354" s="298"/>
      <c r="AA354" s="299"/>
      <c r="AB354" s="298"/>
      <c r="AC354" s="299"/>
      <c r="AD354" s="298"/>
      <c r="AE354" s="299"/>
      <c r="AF354" s="601">
        <f t="shared" si="111"/>
        <v>0</v>
      </c>
      <c r="AG354" s="602">
        <f t="shared" si="112"/>
        <v>0</v>
      </c>
      <c r="AH354" s="603">
        <f t="shared" si="113"/>
        <v>0</v>
      </c>
      <c r="AI354" s="603">
        <f t="shared" si="114"/>
        <v>0</v>
      </c>
      <c r="AJ354" s="298"/>
      <c r="AK354" s="299"/>
      <c r="AL354" s="601">
        <f t="shared" si="115"/>
        <v>0</v>
      </c>
      <c r="AM354" s="604">
        <f t="shared" si="116"/>
        <v>0</v>
      </c>
      <c r="AN354" s="306"/>
      <c r="AO354" s="307"/>
      <c r="AP354" s="298"/>
      <c r="AQ354" s="440"/>
      <c r="AR354" s="298"/>
      <c r="AS354" s="440"/>
      <c r="AT354" s="298"/>
      <c r="AU354" s="440"/>
      <c r="AV354" s="601">
        <f t="shared" si="117"/>
        <v>0</v>
      </c>
      <c r="AW354" s="609">
        <f t="shared" si="118"/>
        <v>0</v>
      </c>
      <c r="AX354" s="603">
        <f t="shared" si="119"/>
        <v>0</v>
      </c>
      <c r="AY354" s="610">
        <f t="shared" si="120"/>
        <v>0</v>
      </c>
      <c r="AZ354" s="611">
        <f t="shared" si="121"/>
        <v>1775.7666666666667</v>
      </c>
      <c r="BA354" s="603">
        <f t="shared" si="122"/>
        <v>1632.4</v>
      </c>
    </row>
    <row r="355" spans="1:53">
      <c r="A355" s="380" t="s">
        <v>159</v>
      </c>
      <c r="B355" s="493" t="s">
        <v>785</v>
      </c>
      <c r="C355" s="492"/>
      <c r="D355" s="372">
        <v>199722</v>
      </c>
      <c r="E355" s="494">
        <v>10</v>
      </c>
      <c r="F355" s="296" t="s">
        <v>52</v>
      </c>
      <c r="G355" s="297" t="s">
        <v>52</v>
      </c>
      <c r="H355" s="298"/>
      <c r="I355" s="299"/>
      <c r="J355" s="298">
        <v>20834</v>
      </c>
      <c r="K355" s="299">
        <v>20344</v>
      </c>
      <c r="L355" s="298">
        <v>7242</v>
      </c>
      <c r="M355" s="299">
        <v>6167</v>
      </c>
      <c r="N355" s="298">
        <v>21432</v>
      </c>
      <c r="O355" s="299">
        <v>19910</v>
      </c>
      <c r="P355" s="601">
        <f t="shared" si="105"/>
        <v>49508</v>
      </c>
      <c r="Q355" s="602">
        <f t="shared" si="106"/>
        <v>1650.2666666666667</v>
      </c>
      <c r="R355" s="603">
        <f t="shared" si="107"/>
        <v>46421</v>
      </c>
      <c r="S355" s="604">
        <f t="shared" si="108"/>
        <v>1547.3666666666666</v>
      </c>
      <c r="T355" s="298">
        <v>3653</v>
      </c>
      <c r="U355" s="299">
        <v>3155</v>
      </c>
      <c r="V355" s="601">
        <f t="shared" si="109"/>
        <v>49508</v>
      </c>
      <c r="W355" s="605">
        <f t="shared" si="110"/>
        <v>46421</v>
      </c>
      <c r="X355" s="305"/>
      <c r="Y355" s="299"/>
      <c r="Z355" s="298"/>
      <c r="AA355" s="299"/>
      <c r="AB355" s="298"/>
      <c r="AC355" s="299"/>
      <c r="AD355" s="298"/>
      <c r="AE355" s="299"/>
      <c r="AF355" s="601">
        <f t="shared" si="111"/>
        <v>0</v>
      </c>
      <c r="AG355" s="602">
        <f t="shared" si="112"/>
        <v>0</v>
      </c>
      <c r="AH355" s="603">
        <f t="shared" si="113"/>
        <v>0</v>
      </c>
      <c r="AI355" s="603">
        <f t="shared" si="114"/>
        <v>0</v>
      </c>
      <c r="AJ355" s="298"/>
      <c r="AK355" s="299"/>
      <c r="AL355" s="601">
        <f t="shared" si="115"/>
        <v>0</v>
      </c>
      <c r="AM355" s="604">
        <f t="shared" si="116"/>
        <v>0</v>
      </c>
      <c r="AN355" s="306"/>
      <c r="AO355" s="440"/>
      <c r="AP355" s="298"/>
      <c r="AQ355" s="440"/>
      <c r="AR355" s="298"/>
      <c r="AS355" s="440"/>
      <c r="AT355" s="298"/>
      <c r="AU355" s="440"/>
      <c r="AV355" s="601">
        <f t="shared" si="117"/>
        <v>0</v>
      </c>
      <c r="AW355" s="609">
        <f t="shared" si="118"/>
        <v>0</v>
      </c>
      <c r="AX355" s="603">
        <f t="shared" si="119"/>
        <v>0</v>
      </c>
      <c r="AY355" s="610">
        <f t="shared" si="120"/>
        <v>0</v>
      </c>
      <c r="AZ355" s="611">
        <f t="shared" si="121"/>
        <v>1650.2666666666667</v>
      </c>
      <c r="BA355" s="603">
        <f t="shared" si="122"/>
        <v>1547.3666666666666</v>
      </c>
    </row>
    <row r="356" spans="1:53">
      <c r="A356" s="380" t="s">
        <v>159</v>
      </c>
      <c r="B356" s="493" t="s">
        <v>786</v>
      </c>
      <c r="C356" s="492"/>
      <c r="D356" s="372">
        <v>199731</v>
      </c>
      <c r="E356" s="494">
        <v>10</v>
      </c>
      <c r="F356" s="296" t="s">
        <v>52</v>
      </c>
      <c r="G356" s="297" t="s">
        <v>52</v>
      </c>
      <c r="H356" s="298"/>
      <c r="I356" s="299"/>
      <c r="J356" s="298">
        <v>23336</v>
      </c>
      <c r="K356" s="299">
        <v>23284</v>
      </c>
      <c r="L356" s="298">
        <v>6768</v>
      </c>
      <c r="M356" s="299">
        <v>6230</v>
      </c>
      <c r="N356" s="298">
        <v>25165</v>
      </c>
      <c r="O356" s="299">
        <v>24518</v>
      </c>
      <c r="P356" s="601">
        <f t="shared" si="105"/>
        <v>55269</v>
      </c>
      <c r="Q356" s="602">
        <f t="shared" si="106"/>
        <v>1842.3</v>
      </c>
      <c r="R356" s="603">
        <f t="shared" si="107"/>
        <v>54032</v>
      </c>
      <c r="S356" s="604">
        <f t="shared" si="108"/>
        <v>1801.0666666666666</v>
      </c>
      <c r="T356" s="298">
        <v>6507</v>
      </c>
      <c r="U356" s="299">
        <v>6519</v>
      </c>
      <c r="V356" s="601">
        <f t="shared" si="109"/>
        <v>55269</v>
      </c>
      <c r="W356" s="605">
        <f t="shared" si="110"/>
        <v>54032</v>
      </c>
      <c r="X356" s="305"/>
      <c r="Y356" s="299"/>
      <c r="Z356" s="298"/>
      <c r="AA356" s="299"/>
      <c r="AB356" s="298"/>
      <c r="AC356" s="299"/>
      <c r="AD356" s="298"/>
      <c r="AE356" s="299"/>
      <c r="AF356" s="601">
        <f t="shared" si="111"/>
        <v>0</v>
      </c>
      <c r="AG356" s="602">
        <f t="shared" si="112"/>
        <v>0</v>
      </c>
      <c r="AH356" s="603">
        <f t="shared" si="113"/>
        <v>0</v>
      </c>
      <c r="AI356" s="603">
        <f t="shared" si="114"/>
        <v>0</v>
      </c>
      <c r="AJ356" s="298"/>
      <c r="AK356" s="299"/>
      <c r="AL356" s="601">
        <f t="shared" si="115"/>
        <v>0</v>
      </c>
      <c r="AM356" s="604">
        <f t="shared" si="116"/>
        <v>0</v>
      </c>
      <c r="AN356" s="306"/>
      <c r="AO356" s="307"/>
      <c r="AP356" s="298"/>
      <c r="AQ356" s="440"/>
      <c r="AR356" s="298"/>
      <c r="AS356" s="440"/>
      <c r="AT356" s="298"/>
      <c r="AU356" s="440"/>
      <c r="AV356" s="601">
        <f t="shared" si="117"/>
        <v>0</v>
      </c>
      <c r="AW356" s="609">
        <f t="shared" si="118"/>
        <v>0</v>
      </c>
      <c r="AX356" s="603">
        <f t="shared" si="119"/>
        <v>0</v>
      </c>
      <c r="AY356" s="610">
        <f t="shared" si="120"/>
        <v>0</v>
      </c>
      <c r="AZ356" s="611">
        <f t="shared" si="121"/>
        <v>1842.3</v>
      </c>
      <c r="BA356" s="603">
        <f t="shared" si="122"/>
        <v>1801.0666666666666</v>
      </c>
    </row>
    <row r="357" spans="1:53">
      <c r="A357" s="380" t="s">
        <v>159</v>
      </c>
      <c r="B357" s="373" t="s">
        <v>787</v>
      </c>
      <c r="C357" s="492"/>
      <c r="D357" s="372">
        <v>199795</v>
      </c>
      <c r="E357" s="372">
        <v>10</v>
      </c>
      <c r="F357" s="296" t="s">
        <v>52</v>
      </c>
      <c r="G357" s="297" t="s">
        <v>52</v>
      </c>
      <c r="H357" s="298"/>
      <c r="I357" s="299"/>
      <c r="J357" s="298">
        <v>13265</v>
      </c>
      <c r="K357" s="299">
        <v>13228</v>
      </c>
      <c r="L357" s="298">
        <v>2847</v>
      </c>
      <c r="M357" s="299">
        <v>2482</v>
      </c>
      <c r="N357" s="298">
        <v>13747</v>
      </c>
      <c r="O357" s="299">
        <v>14264</v>
      </c>
      <c r="P357" s="601">
        <f t="shared" si="105"/>
        <v>29859</v>
      </c>
      <c r="Q357" s="602">
        <f t="shared" si="106"/>
        <v>995.3</v>
      </c>
      <c r="R357" s="603">
        <f t="shared" si="107"/>
        <v>29974</v>
      </c>
      <c r="S357" s="604">
        <f t="shared" si="108"/>
        <v>999.13333333333333</v>
      </c>
      <c r="T357" s="298">
        <v>4641</v>
      </c>
      <c r="U357" s="299">
        <v>4175</v>
      </c>
      <c r="V357" s="601">
        <f t="shared" si="109"/>
        <v>29859</v>
      </c>
      <c r="W357" s="605">
        <f t="shared" si="110"/>
        <v>29974</v>
      </c>
      <c r="X357" s="305"/>
      <c r="Y357" s="299"/>
      <c r="Z357" s="298"/>
      <c r="AA357" s="299"/>
      <c r="AB357" s="298"/>
      <c r="AC357" s="299"/>
      <c r="AD357" s="298"/>
      <c r="AE357" s="299"/>
      <c r="AF357" s="601">
        <f t="shared" si="111"/>
        <v>0</v>
      </c>
      <c r="AG357" s="602">
        <f t="shared" si="112"/>
        <v>0</v>
      </c>
      <c r="AH357" s="603">
        <f t="shared" si="113"/>
        <v>0</v>
      </c>
      <c r="AI357" s="603">
        <f t="shared" si="114"/>
        <v>0</v>
      </c>
      <c r="AJ357" s="298"/>
      <c r="AK357" s="299"/>
      <c r="AL357" s="601">
        <f t="shared" si="115"/>
        <v>0</v>
      </c>
      <c r="AM357" s="604">
        <f t="shared" si="116"/>
        <v>0</v>
      </c>
      <c r="AN357" s="306"/>
      <c r="AO357" s="307"/>
      <c r="AP357" s="298"/>
      <c r="AQ357" s="440"/>
      <c r="AR357" s="298"/>
      <c r="AS357" s="440"/>
      <c r="AT357" s="298"/>
      <c r="AU357" s="440"/>
      <c r="AV357" s="601">
        <f t="shared" si="117"/>
        <v>0</v>
      </c>
      <c r="AW357" s="609">
        <f t="shared" si="118"/>
        <v>0</v>
      </c>
      <c r="AX357" s="603">
        <f t="shared" si="119"/>
        <v>0</v>
      </c>
      <c r="AY357" s="610">
        <f t="shared" si="120"/>
        <v>0</v>
      </c>
      <c r="AZ357" s="611">
        <f t="shared" si="121"/>
        <v>995.3</v>
      </c>
      <c r="BA357" s="603">
        <f t="shared" si="122"/>
        <v>999.13333333333333</v>
      </c>
    </row>
    <row r="358" spans="1:53">
      <c r="A358" s="380" t="s">
        <v>159</v>
      </c>
      <c r="B358" s="493" t="s">
        <v>788</v>
      </c>
      <c r="C358" s="492"/>
      <c r="D358" s="372">
        <v>199953</v>
      </c>
      <c r="E358" s="494">
        <v>10</v>
      </c>
      <c r="F358" s="296" t="s">
        <v>52</v>
      </c>
      <c r="G358" s="297" t="s">
        <v>52</v>
      </c>
      <c r="H358" s="298"/>
      <c r="I358" s="299"/>
      <c r="J358" s="298">
        <v>20528</v>
      </c>
      <c r="K358" s="299">
        <v>20169</v>
      </c>
      <c r="L358" s="298">
        <v>10769</v>
      </c>
      <c r="M358" s="299">
        <v>9033</v>
      </c>
      <c r="N358" s="298">
        <v>20687</v>
      </c>
      <c r="O358" s="299">
        <v>18219</v>
      </c>
      <c r="P358" s="601">
        <f t="shared" si="105"/>
        <v>51984</v>
      </c>
      <c r="Q358" s="602">
        <f t="shared" si="106"/>
        <v>1732.8</v>
      </c>
      <c r="R358" s="603">
        <f t="shared" si="107"/>
        <v>47421</v>
      </c>
      <c r="S358" s="604">
        <f t="shared" si="108"/>
        <v>1580.7</v>
      </c>
      <c r="T358" s="298">
        <v>1143</v>
      </c>
      <c r="U358" s="299">
        <v>1692</v>
      </c>
      <c r="V358" s="601">
        <f t="shared" si="109"/>
        <v>51984</v>
      </c>
      <c r="W358" s="605">
        <f t="shared" si="110"/>
        <v>47421</v>
      </c>
      <c r="X358" s="305"/>
      <c r="Y358" s="299"/>
      <c r="Z358" s="298"/>
      <c r="AA358" s="299"/>
      <c r="AB358" s="298"/>
      <c r="AC358" s="299"/>
      <c r="AD358" s="298"/>
      <c r="AE358" s="299"/>
      <c r="AF358" s="601">
        <f t="shared" si="111"/>
        <v>0</v>
      </c>
      <c r="AG358" s="602">
        <f t="shared" si="112"/>
        <v>0</v>
      </c>
      <c r="AH358" s="603">
        <f t="shared" si="113"/>
        <v>0</v>
      </c>
      <c r="AI358" s="603">
        <f t="shared" si="114"/>
        <v>0</v>
      </c>
      <c r="AJ358" s="298"/>
      <c r="AK358" s="299"/>
      <c r="AL358" s="601">
        <f t="shared" si="115"/>
        <v>0</v>
      </c>
      <c r="AM358" s="604">
        <f t="shared" si="116"/>
        <v>0</v>
      </c>
      <c r="AN358" s="306"/>
      <c r="AO358" s="307"/>
      <c r="AP358" s="298"/>
      <c r="AQ358" s="440"/>
      <c r="AR358" s="298"/>
      <c r="AS358" s="440"/>
      <c r="AT358" s="298"/>
      <c r="AU358" s="440"/>
      <c r="AV358" s="601">
        <f t="shared" si="117"/>
        <v>0</v>
      </c>
      <c r="AW358" s="609">
        <f t="shared" si="118"/>
        <v>0</v>
      </c>
      <c r="AX358" s="603">
        <f t="shared" si="119"/>
        <v>0</v>
      </c>
      <c r="AY358" s="610">
        <f t="shared" si="120"/>
        <v>0</v>
      </c>
      <c r="AZ358" s="611">
        <f t="shared" si="121"/>
        <v>1732.8</v>
      </c>
      <c r="BA358" s="603">
        <f t="shared" si="122"/>
        <v>1580.7</v>
      </c>
    </row>
    <row r="359" spans="1:53">
      <c r="A359" s="531" t="s">
        <v>164</v>
      </c>
      <c r="B359" s="532" t="s">
        <v>889</v>
      </c>
      <c r="C359" s="554"/>
      <c r="D359" s="533">
        <v>207388</v>
      </c>
      <c r="E359" s="550">
        <v>1</v>
      </c>
      <c r="F359" s="534" t="s">
        <v>52</v>
      </c>
      <c r="G359" s="535" t="s">
        <v>52</v>
      </c>
      <c r="H359" s="536"/>
      <c r="I359" s="537"/>
      <c r="J359" s="536">
        <v>222595</v>
      </c>
      <c r="K359" s="537">
        <v>243811</v>
      </c>
      <c r="L359" s="536">
        <v>29689</v>
      </c>
      <c r="M359" s="537">
        <v>32147</v>
      </c>
      <c r="N359" s="536">
        <v>293080</v>
      </c>
      <c r="O359" s="538">
        <v>268237</v>
      </c>
      <c r="P359" s="601">
        <f t="shared" si="105"/>
        <v>545364</v>
      </c>
      <c r="Q359" s="602">
        <f t="shared" si="106"/>
        <v>18178.8</v>
      </c>
      <c r="R359" s="603">
        <f t="shared" si="107"/>
        <v>544195</v>
      </c>
      <c r="S359" s="604">
        <f t="shared" si="108"/>
        <v>18139.833333333332</v>
      </c>
      <c r="T359" s="536">
        <v>693</v>
      </c>
      <c r="U359" s="530">
        <v>1384</v>
      </c>
      <c r="V359" s="601">
        <f t="shared" si="109"/>
        <v>545364</v>
      </c>
      <c r="W359" s="605">
        <f t="shared" si="110"/>
        <v>544195</v>
      </c>
      <c r="X359" s="539"/>
      <c r="Y359" s="537"/>
      <c r="Z359" s="536"/>
      <c r="AA359" s="537"/>
      <c r="AB359" s="536"/>
      <c r="AC359" s="537"/>
      <c r="AD359" s="536"/>
      <c r="AE359" s="537"/>
      <c r="AF359" s="601">
        <f t="shared" si="111"/>
        <v>0</v>
      </c>
      <c r="AG359" s="602">
        <f t="shared" si="112"/>
        <v>0</v>
      </c>
      <c r="AH359" s="603">
        <f t="shared" si="113"/>
        <v>0</v>
      </c>
      <c r="AI359" s="603">
        <f t="shared" si="114"/>
        <v>0</v>
      </c>
      <c r="AJ359" s="536"/>
      <c r="AK359" s="537"/>
      <c r="AL359" s="601">
        <f t="shared" si="115"/>
        <v>0</v>
      </c>
      <c r="AM359" s="604">
        <f t="shared" si="116"/>
        <v>0</v>
      </c>
      <c r="AN359" s="540"/>
      <c r="AO359" s="541"/>
      <c r="AP359" s="536">
        <v>30293</v>
      </c>
      <c r="AQ359" s="542">
        <v>46816</v>
      </c>
      <c r="AR359" s="536">
        <v>10747</v>
      </c>
      <c r="AS359" s="542">
        <v>23316</v>
      </c>
      <c r="AT359" s="536">
        <v>34141</v>
      </c>
      <c r="AU359" s="542">
        <v>46543</v>
      </c>
      <c r="AV359" s="601">
        <f t="shared" si="117"/>
        <v>75181</v>
      </c>
      <c r="AW359" s="609">
        <f t="shared" si="118"/>
        <v>3132.5416666666665</v>
      </c>
      <c r="AX359" s="603">
        <f t="shared" si="119"/>
        <v>116675</v>
      </c>
      <c r="AY359" s="610">
        <f t="shared" si="120"/>
        <v>4861.458333333333</v>
      </c>
      <c r="AZ359" s="611">
        <f t="shared" si="121"/>
        <v>21311.341666666667</v>
      </c>
      <c r="BA359" s="603">
        <f t="shared" si="122"/>
        <v>23001.291666666664</v>
      </c>
    </row>
    <row r="360" spans="1:53">
      <c r="A360" s="531" t="s">
        <v>164</v>
      </c>
      <c r="B360" s="532" t="s">
        <v>890</v>
      </c>
      <c r="C360" s="554"/>
      <c r="D360" s="533">
        <v>207500</v>
      </c>
      <c r="E360" s="550">
        <v>1</v>
      </c>
      <c r="F360" s="534" t="s">
        <v>52</v>
      </c>
      <c r="G360" s="535" t="s">
        <v>52</v>
      </c>
      <c r="H360" s="536"/>
      <c r="I360" s="537"/>
      <c r="J360" s="536">
        <v>239876</v>
      </c>
      <c r="K360" s="537">
        <v>242922</v>
      </c>
      <c r="L360" s="536">
        <v>27517</v>
      </c>
      <c r="M360" s="537">
        <v>34284</v>
      </c>
      <c r="N360" s="536">
        <v>259990</v>
      </c>
      <c r="O360" s="538">
        <v>269398</v>
      </c>
      <c r="P360" s="601">
        <f t="shared" si="105"/>
        <v>527383</v>
      </c>
      <c r="Q360" s="602">
        <f t="shared" si="106"/>
        <v>17579.433333333334</v>
      </c>
      <c r="R360" s="603">
        <f t="shared" si="107"/>
        <v>546604</v>
      </c>
      <c r="S360" s="604">
        <f t="shared" si="108"/>
        <v>18220.133333333335</v>
      </c>
      <c r="T360" s="536">
        <v>297</v>
      </c>
      <c r="U360" s="530">
        <v>578</v>
      </c>
      <c r="V360" s="601">
        <f t="shared" si="109"/>
        <v>527383</v>
      </c>
      <c r="W360" s="605">
        <f t="shared" si="110"/>
        <v>546604</v>
      </c>
      <c r="X360" s="539"/>
      <c r="Y360" s="537"/>
      <c r="Z360" s="536"/>
      <c r="AA360" s="537"/>
      <c r="AB360" s="536"/>
      <c r="AC360" s="537"/>
      <c r="AD360" s="536"/>
      <c r="AE360" s="537"/>
      <c r="AF360" s="601">
        <f t="shared" si="111"/>
        <v>0</v>
      </c>
      <c r="AG360" s="602">
        <f t="shared" si="112"/>
        <v>0</v>
      </c>
      <c r="AH360" s="603">
        <f t="shared" si="113"/>
        <v>0</v>
      </c>
      <c r="AI360" s="603">
        <f t="shared" si="114"/>
        <v>0</v>
      </c>
      <c r="AJ360" s="536"/>
      <c r="AK360" s="537"/>
      <c r="AL360" s="601">
        <f t="shared" si="115"/>
        <v>0</v>
      </c>
      <c r="AM360" s="604">
        <f t="shared" si="116"/>
        <v>0</v>
      </c>
      <c r="AN360" s="540"/>
      <c r="AO360" s="541"/>
      <c r="AP360" s="536">
        <v>38955</v>
      </c>
      <c r="AQ360" s="542">
        <v>53722</v>
      </c>
      <c r="AR360" s="536">
        <v>12833</v>
      </c>
      <c r="AS360" s="542">
        <v>17476</v>
      </c>
      <c r="AT360" s="536">
        <v>40617</v>
      </c>
      <c r="AU360" s="542">
        <v>52520</v>
      </c>
      <c r="AV360" s="601">
        <f t="shared" si="117"/>
        <v>92405</v>
      </c>
      <c r="AW360" s="609">
        <f t="shared" si="118"/>
        <v>3850.2083333333335</v>
      </c>
      <c r="AX360" s="603">
        <f t="shared" si="119"/>
        <v>123718</v>
      </c>
      <c r="AY360" s="610">
        <f t="shared" si="120"/>
        <v>5154.916666666667</v>
      </c>
      <c r="AZ360" s="611">
        <f t="shared" si="121"/>
        <v>21429.641666666666</v>
      </c>
      <c r="BA360" s="603">
        <f t="shared" si="122"/>
        <v>23375.050000000003</v>
      </c>
    </row>
    <row r="361" spans="1:53">
      <c r="A361" s="531" t="s">
        <v>164</v>
      </c>
      <c r="B361" s="532" t="s">
        <v>891</v>
      </c>
      <c r="C361" s="554"/>
      <c r="D361" s="533">
        <v>207263</v>
      </c>
      <c r="E361" s="550">
        <v>3</v>
      </c>
      <c r="F361" s="534" t="s">
        <v>52</v>
      </c>
      <c r="G361" s="535" t="s">
        <v>52</v>
      </c>
      <c r="H361" s="536"/>
      <c r="I361" s="537"/>
      <c r="J361" s="536">
        <v>91975</v>
      </c>
      <c r="K361" s="537">
        <v>94451</v>
      </c>
      <c r="L361" s="536">
        <v>19638</v>
      </c>
      <c r="M361" s="537">
        <v>19543</v>
      </c>
      <c r="N361" s="536">
        <v>97826</v>
      </c>
      <c r="O361" s="538">
        <v>97194</v>
      </c>
      <c r="P361" s="601">
        <f t="shared" si="105"/>
        <v>209439</v>
      </c>
      <c r="Q361" s="602">
        <f t="shared" si="106"/>
        <v>6981.3</v>
      </c>
      <c r="R361" s="603">
        <f t="shared" si="107"/>
        <v>211188</v>
      </c>
      <c r="S361" s="604">
        <f t="shared" si="108"/>
        <v>7039.6</v>
      </c>
      <c r="T361" s="536">
        <v>558</v>
      </c>
      <c r="U361" s="530">
        <v>1257</v>
      </c>
      <c r="V361" s="601">
        <f t="shared" si="109"/>
        <v>209439</v>
      </c>
      <c r="W361" s="605">
        <f t="shared" si="110"/>
        <v>211188</v>
      </c>
      <c r="X361" s="539"/>
      <c r="Y361" s="537"/>
      <c r="Z361" s="536"/>
      <c r="AA361" s="537"/>
      <c r="AB361" s="536"/>
      <c r="AC361" s="537"/>
      <c r="AD361" s="536"/>
      <c r="AE361" s="537"/>
      <c r="AF361" s="601">
        <f t="shared" si="111"/>
        <v>0</v>
      </c>
      <c r="AG361" s="602">
        <f t="shared" si="112"/>
        <v>0</v>
      </c>
      <c r="AH361" s="603">
        <f t="shared" si="113"/>
        <v>0</v>
      </c>
      <c r="AI361" s="603">
        <f t="shared" si="114"/>
        <v>0</v>
      </c>
      <c r="AJ361" s="536"/>
      <c r="AK361" s="537"/>
      <c r="AL361" s="601">
        <f t="shared" si="115"/>
        <v>0</v>
      </c>
      <c r="AM361" s="604">
        <f t="shared" si="116"/>
        <v>0</v>
      </c>
      <c r="AN361" s="540"/>
      <c r="AO361" s="541"/>
      <c r="AP361" s="536">
        <v>8309</v>
      </c>
      <c r="AQ361" s="542">
        <v>8145</v>
      </c>
      <c r="AR361" s="536">
        <v>3639</v>
      </c>
      <c r="AS361" s="542">
        <v>3699</v>
      </c>
      <c r="AT361" s="536">
        <v>8532</v>
      </c>
      <c r="AU361" s="542">
        <v>8755</v>
      </c>
      <c r="AV361" s="601">
        <f t="shared" si="117"/>
        <v>20480</v>
      </c>
      <c r="AW361" s="609">
        <f t="shared" si="118"/>
        <v>853.33333333333337</v>
      </c>
      <c r="AX361" s="603">
        <f t="shared" si="119"/>
        <v>20599</v>
      </c>
      <c r="AY361" s="610">
        <f t="shared" si="120"/>
        <v>858.29166666666663</v>
      </c>
      <c r="AZ361" s="611">
        <f t="shared" si="121"/>
        <v>7834.6333333333332</v>
      </c>
      <c r="BA361" s="603">
        <f t="shared" si="122"/>
        <v>7897.8916666666673</v>
      </c>
    </row>
    <row r="362" spans="1:53">
      <c r="A362" s="531" t="s">
        <v>164</v>
      </c>
      <c r="B362" s="532" t="s">
        <v>892</v>
      </c>
      <c r="C362" s="554"/>
      <c r="D362" s="533">
        <v>206941</v>
      </c>
      <c r="E362" s="550">
        <v>3</v>
      </c>
      <c r="F362" s="534" t="s">
        <v>52</v>
      </c>
      <c r="G362" s="535" t="s">
        <v>52</v>
      </c>
      <c r="H362" s="536"/>
      <c r="I362" s="537"/>
      <c r="J362" s="536">
        <v>156734</v>
      </c>
      <c r="K362" s="537">
        <v>163355</v>
      </c>
      <c r="L362" s="536">
        <v>26986</v>
      </c>
      <c r="M362" s="537">
        <v>28818</v>
      </c>
      <c r="N362" s="536">
        <v>177435</v>
      </c>
      <c r="O362" s="538">
        <v>181141</v>
      </c>
      <c r="P362" s="601">
        <f t="shared" si="105"/>
        <v>361155</v>
      </c>
      <c r="Q362" s="602">
        <f t="shared" si="106"/>
        <v>12038.5</v>
      </c>
      <c r="R362" s="603">
        <f t="shared" si="107"/>
        <v>373314</v>
      </c>
      <c r="S362" s="604">
        <f t="shared" si="108"/>
        <v>12443.8</v>
      </c>
      <c r="T362" s="536">
        <v>925</v>
      </c>
      <c r="U362" s="530">
        <v>1280</v>
      </c>
      <c r="V362" s="601">
        <f t="shared" si="109"/>
        <v>361155</v>
      </c>
      <c r="W362" s="605">
        <f t="shared" si="110"/>
        <v>373314</v>
      </c>
      <c r="X362" s="539"/>
      <c r="Y362" s="537"/>
      <c r="Z362" s="536"/>
      <c r="AA362" s="537"/>
      <c r="AB362" s="536"/>
      <c r="AC362" s="537"/>
      <c r="AD362" s="536"/>
      <c r="AE362" s="537"/>
      <c r="AF362" s="601">
        <f t="shared" si="111"/>
        <v>0</v>
      </c>
      <c r="AG362" s="602">
        <f t="shared" si="112"/>
        <v>0</v>
      </c>
      <c r="AH362" s="603">
        <f t="shared" si="113"/>
        <v>0</v>
      </c>
      <c r="AI362" s="603">
        <f t="shared" si="114"/>
        <v>0</v>
      </c>
      <c r="AJ362" s="536"/>
      <c r="AK362" s="537"/>
      <c r="AL362" s="601">
        <f t="shared" si="115"/>
        <v>0</v>
      </c>
      <c r="AM362" s="604">
        <f t="shared" si="116"/>
        <v>0</v>
      </c>
      <c r="AN362" s="540"/>
      <c r="AO362" s="541"/>
      <c r="AP362" s="536">
        <v>11285</v>
      </c>
      <c r="AQ362" s="542">
        <v>11856</v>
      </c>
      <c r="AR362" s="536">
        <v>4443</v>
      </c>
      <c r="AS362" s="542">
        <v>4480</v>
      </c>
      <c r="AT362" s="536">
        <v>11842</v>
      </c>
      <c r="AU362" s="542">
        <v>11896</v>
      </c>
      <c r="AV362" s="601">
        <f t="shared" si="117"/>
        <v>27570</v>
      </c>
      <c r="AW362" s="609">
        <f t="shared" si="118"/>
        <v>1148.75</v>
      </c>
      <c r="AX362" s="603">
        <f t="shared" si="119"/>
        <v>28232</v>
      </c>
      <c r="AY362" s="610">
        <f t="shared" si="120"/>
        <v>1176.3333333333333</v>
      </c>
      <c r="AZ362" s="611">
        <f t="shared" si="121"/>
        <v>13187.25</v>
      </c>
      <c r="BA362" s="603">
        <f t="shared" si="122"/>
        <v>13620.133333333333</v>
      </c>
    </row>
    <row r="363" spans="1:53">
      <c r="A363" s="531" t="s">
        <v>164</v>
      </c>
      <c r="B363" s="532" t="s">
        <v>893</v>
      </c>
      <c r="C363" s="554"/>
      <c r="D363" s="533">
        <v>206914</v>
      </c>
      <c r="E363" s="550">
        <v>5</v>
      </c>
      <c r="F363" s="534" t="s">
        <v>52</v>
      </c>
      <c r="G363" s="535" t="s">
        <v>52</v>
      </c>
      <c r="H363" s="536"/>
      <c r="I363" s="537"/>
      <c r="J363" s="536">
        <v>60070</v>
      </c>
      <c r="K363" s="537">
        <v>60437</v>
      </c>
      <c r="L363" s="536">
        <v>13577</v>
      </c>
      <c r="M363" s="537">
        <v>13235</v>
      </c>
      <c r="N363" s="536">
        <v>65020</v>
      </c>
      <c r="O363" s="538">
        <v>65372</v>
      </c>
      <c r="P363" s="601">
        <f t="shared" si="105"/>
        <v>138667</v>
      </c>
      <c r="Q363" s="602">
        <f t="shared" si="106"/>
        <v>4622.2333333333336</v>
      </c>
      <c r="R363" s="603">
        <f t="shared" si="107"/>
        <v>139044</v>
      </c>
      <c r="S363" s="604">
        <f t="shared" si="108"/>
        <v>4634.8</v>
      </c>
      <c r="T363" s="536">
        <v>712</v>
      </c>
      <c r="U363" s="530">
        <v>2388</v>
      </c>
      <c r="V363" s="601">
        <f t="shared" si="109"/>
        <v>138667</v>
      </c>
      <c r="W363" s="605">
        <f t="shared" si="110"/>
        <v>139044</v>
      </c>
      <c r="X363" s="539"/>
      <c r="Y363" s="537"/>
      <c r="Z363" s="536"/>
      <c r="AA363" s="537"/>
      <c r="AB363" s="536"/>
      <c r="AC363" s="537"/>
      <c r="AD363" s="536"/>
      <c r="AE363" s="537"/>
      <c r="AF363" s="601">
        <f t="shared" si="111"/>
        <v>0</v>
      </c>
      <c r="AG363" s="602">
        <f t="shared" si="112"/>
        <v>0</v>
      </c>
      <c r="AH363" s="603">
        <f t="shared" si="113"/>
        <v>0</v>
      </c>
      <c r="AI363" s="603">
        <f t="shared" si="114"/>
        <v>0</v>
      </c>
      <c r="AJ363" s="536"/>
      <c r="AK363" s="537"/>
      <c r="AL363" s="601">
        <f t="shared" si="115"/>
        <v>0</v>
      </c>
      <c r="AM363" s="604">
        <f t="shared" si="116"/>
        <v>0</v>
      </c>
      <c r="AN363" s="540"/>
      <c r="AO363" s="541"/>
      <c r="AP363" s="536">
        <v>2955</v>
      </c>
      <c r="AQ363" s="542">
        <v>2960</v>
      </c>
      <c r="AR363" s="536">
        <v>1025</v>
      </c>
      <c r="AS363" s="542">
        <v>1065</v>
      </c>
      <c r="AT363" s="536">
        <v>2940</v>
      </c>
      <c r="AU363" s="542">
        <v>3424</v>
      </c>
      <c r="AV363" s="601">
        <f t="shared" si="117"/>
        <v>6920</v>
      </c>
      <c r="AW363" s="609">
        <f t="shared" si="118"/>
        <v>288.33333333333331</v>
      </c>
      <c r="AX363" s="603">
        <f t="shared" si="119"/>
        <v>7449</v>
      </c>
      <c r="AY363" s="610">
        <f t="shared" si="120"/>
        <v>310.375</v>
      </c>
      <c r="AZ363" s="611">
        <f t="shared" si="121"/>
        <v>4910.5666666666666</v>
      </c>
      <c r="BA363" s="603">
        <f t="shared" si="122"/>
        <v>4945.1750000000002</v>
      </c>
    </row>
    <row r="364" spans="1:53">
      <c r="A364" s="531" t="s">
        <v>164</v>
      </c>
      <c r="B364" s="532" t="s">
        <v>894</v>
      </c>
      <c r="C364" s="554"/>
      <c r="D364" s="533">
        <v>207041</v>
      </c>
      <c r="E364" s="550">
        <v>5</v>
      </c>
      <c r="F364" s="534" t="s">
        <v>52</v>
      </c>
      <c r="G364" s="535" t="s">
        <v>52</v>
      </c>
      <c r="H364" s="536"/>
      <c r="I364" s="537"/>
      <c r="J364" s="536">
        <v>45657</v>
      </c>
      <c r="K364" s="537">
        <v>47494</v>
      </c>
      <c r="L364" s="536">
        <v>9704</v>
      </c>
      <c r="M364" s="537">
        <v>9511</v>
      </c>
      <c r="N364" s="536">
        <v>50905</v>
      </c>
      <c r="O364" s="538">
        <v>49659</v>
      </c>
      <c r="P364" s="601">
        <f t="shared" si="105"/>
        <v>106266</v>
      </c>
      <c r="Q364" s="602">
        <f t="shared" si="106"/>
        <v>3542.2</v>
      </c>
      <c r="R364" s="603">
        <f t="shared" si="107"/>
        <v>106664</v>
      </c>
      <c r="S364" s="604">
        <f t="shared" si="108"/>
        <v>3555.4666666666667</v>
      </c>
      <c r="T364" s="536">
        <v>502</v>
      </c>
      <c r="U364" s="530">
        <v>924</v>
      </c>
      <c r="V364" s="601">
        <f t="shared" si="109"/>
        <v>106266</v>
      </c>
      <c r="W364" s="605">
        <f t="shared" si="110"/>
        <v>106664</v>
      </c>
      <c r="X364" s="539"/>
      <c r="Y364" s="537"/>
      <c r="Z364" s="536"/>
      <c r="AA364" s="537"/>
      <c r="AB364" s="536"/>
      <c r="AC364" s="537"/>
      <c r="AD364" s="536"/>
      <c r="AE364" s="537"/>
      <c r="AF364" s="601">
        <f t="shared" si="111"/>
        <v>0</v>
      </c>
      <c r="AG364" s="602">
        <f t="shared" si="112"/>
        <v>0</v>
      </c>
      <c r="AH364" s="603">
        <f t="shared" si="113"/>
        <v>0</v>
      </c>
      <c r="AI364" s="603">
        <f t="shared" si="114"/>
        <v>0</v>
      </c>
      <c r="AJ364" s="536"/>
      <c r="AK364" s="537"/>
      <c r="AL364" s="601">
        <f t="shared" si="115"/>
        <v>0</v>
      </c>
      <c r="AM364" s="604">
        <f t="shared" si="116"/>
        <v>0</v>
      </c>
      <c r="AN364" s="540"/>
      <c r="AO364" s="541"/>
      <c r="AP364" s="536">
        <v>5575</v>
      </c>
      <c r="AQ364" s="542">
        <v>5983</v>
      </c>
      <c r="AR364" s="536">
        <v>4481</v>
      </c>
      <c r="AS364" s="542">
        <v>3886</v>
      </c>
      <c r="AT364" s="536">
        <v>5793</v>
      </c>
      <c r="AU364" s="542">
        <v>5887</v>
      </c>
      <c r="AV364" s="601">
        <f t="shared" si="117"/>
        <v>15849</v>
      </c>
      <c r="AW364" s="609">
        <f t="shared" si="118"/>
        <v>660.375</v>
      </c>
      <c r="AX364" s="603">
        <f t="shared" si="119"/>
        <v>15756</v>
      </c>
      <c r="AY364" s="610">
        <f t="shared" si="120"/>
        <v>656.5</v>
      </c>
      <c r="AZ364" s="611">
        <f t="shared" si="121"/>
        <v>4202.5749999999998</v>
      </c>
      <c r="BA364" s="603">
        <f t="shared" si="122"/>
        <v>4211.9666666666672</v>
      </c>
    </row>
    <row r="365" spans="1:53">
      <c r="A365" s="531" t="s">
        <v>164</v>
      </c>
      <c r="B365" s="532" t="s">
        <v>895</v>
      </c>
      <c r="C365" s="554"/>
      <c r="D365" s="533">
        <v>207209</v>
      </c>
      <c r="E365" s="550">
        <v>5</v>
      </c>
      <c r="F365" s="534" t="s">
        <v>52</v>
      </c>
      <c r="G365" s="535" t="s">
        <v>52</v>
      </c>
      <c r="H365" s="536"/>
      <c r="I365" s="537"/>
      <c r="J365" s="536">
        <v>27921</v>
      </c>
      <c r="K365" s="537">
        <v>27007</v>
      </c>
      <c r="L365" s="536">
        <v>4684</v>
      </c>
      <c r="M365" s="537">
        <v>4709</v>
      </c>
      <c r="N365" s="536">
        <v>29520</v>
      </c>
      <c r="O365" s="538">
        <v>30254</v>
      </c>
      <c r="P365" s="601">
        <f t="shared" si="105"/>
        <v>62125</v>
      </c>
      <c r="Q365" s="602">
        <f t="shared" si="106"/>
        <v>2070.8333333333335</v>
      </c>
      <c r="R365" s="603">
        <f t="shared" si="107"/>
        <v>61970</v>
      </c>
      <c r="S365" s="604">
        <f t="shared" si="108"/>
        <v>2065.6666666666665</v>
      </c>
      <c r="T365" s="536">
        <v>3</v>
      </c>
      <c r="U365" s="530">
        <v>23</v>
      </c>
      <c r="V365" s="601">
        <f t="shared" si="109"/>
        <v>62125</v>
      </c>
      <c r="W365" s="605">
        <f t="shared" si="110"/>
        <v>61970</v>
      </c>
      <c r="X365" s="539"/>
      <c r="Y365" s="537"/>
      <c r="Z365" s="536"/>
      <c r="AA365" s="537"/>
      <c r="AB365" s="536"/>
      <c r="AC365" s="537"/>
      <c r="AD365" s="536"/>
      <c r="AE365" s="537"/>
      <c r="AF365" s="601">
        <f t="shared" si="111"/>
        <v>0</v>
      </c>
      <c r="AG365" s="602">
        <f t="shared" si="112"/>
        <v>0</v>
      </c>
      <c r="AH365" s="603">
        <f t="shared" si="113"/>
        <v>0</v>
      </c>
      <c r="AI365" s="603">
        <f t="shared" si="114"/>
        <v>0</v>
      </c>
      <c r="AJ365" s="536"/>
      <c r="AK365" s="537"/>
      <c r="AL365" s="601">
        <f t="shared" si="115"/>
        <v>0</v>
      </c>
      <c r="AM365" s="604">
        <f t="shared" si="116"/>
        <v>0</v>
      </c>
      <c r="AN365" s="540"/>
      <c r="AO365" s="541"/>
      <c r="AP365" s="536">
        <v>3157</v>
      </c>
      <c r="AQ365" s="542">
        <v>3946</v>
      </c>
      <c r="AR365" s="536">
        <v>1807</v>
      </c>
      <c r="AS365" s="542">
        <v>1925</v>
      </c>
      <c r="AT365" s="536">
        <v>3668</v>
      </c>
      <c r="AU365" s="542">
        <v>4124</v>
      </c>
      <c r="AV365" s="601">
        <f t="shared" si="117"/>
        <v>8632</v>
      </c>
      <c r="AW365" s="609">
        <f t="shared" si="118"/>
        <v>359.66666666666669</v>
      </c>
      <c r="AX365" s="603">
        <f t="shared" si="119"/>
        <v>9995</v>
      </c>
      <c r="AY365" s="610">
        <f t="shared" si="120"/>
        <v>416.45833333333331</v>
      </c>
      <c r="AZ365" s="611">
        <f t="shared" si="121"/>
        <v>2430.5</v>
      </c>
      <c r="BA365" s="603">
        <f t="shared" si="122"/>
        <v>2482.125</v>
      </c>
    </row>
    <row r="366" spans="1:53">
      <c r="A366" s="531" t="s">
        <v>164</v>
      </c>
      <c r="B366" s="532" t="s">
        <v>896</v>
      </c>
      <c r="C366" s="554"/>
      <c r="D366" s="533">
        <v>207306</v>
      </c>
      <c r="E366" s="550">
        <v>5</v>
      </c>
      <c r="F366" s="534" t="s">
        <v>52</v>
      </c>
      <c r="G366" s="535" t="s">
        <v>52</v>
      </c>
      <c r="H366" s="536"/>
      <c r="I366" s="537"/>
      <c r="J366" s="536">
        <v>24024</v>
      </c>
      <c r="K366" s="537">
        <v>25289</v>
      </c>
      <c r="L366" s="536">
        <v>4034</v>
      </c>
      <c r="M366" s="537">
        <v>3916</v>
      </c>
      <c r="N366" s="536">
        <v>25462</v>
      </c>
      <c r="O366" s="538">
        <v>27352</v>
      </c>
      <c r="P366" s="601">
        <f t="shared" si="105"/>
        <v>53520</v>
      </c>
      <c r="Q366" s="602">
        <f t="shared" si="106"/>
        <v>1784</v>
      </c>
      <c r="R366" s="603">
        <f t="shared" si="107"/>
        <v>56557</v>
      </c>
      <c r="S366" s="604">
        <f t="shared" si="108"/>
        <v>1885.2333333333333</v>
      </c>
      <c r="T366" s="536">
        <v>272</v>
      </c>
      <c r="U366" s="530">
        <v>300</v>
      </c>
      <c r="V366" s="601">
        <f t="shared" si="109"/>
        <v>53520</v>
      </c>
      <c r="W366" s="605">
        <f t="shared" si="110"/>
        <v>56557</v>
      </c>
      <c r="X366" s="539"/>
      <c r="Y366" s="537"/>
      <c r="Z366" s="536"/>
      <c r="AA366" s="537"/>
      <c r="AB366" s="536"/>
      <c r="AC366" s="537"/>
      <c r="AD366" s="536"/>
      <c r="AE366" s="537"/>
      <c r="AF366" s="601">
        <f t="shared" si="111"/>
        <v>0</v>
      </c>
      <c r="AG366" s="602">
        <f t="shared" si="112"/>
        <v>0</v>
      </c>
      <c r="AH366" s="603">
        <f t="shared" si="113"/>
        <v>0</v>
      </c>
      <c r="AI366" s="603">
        <f t="shared" si="114"/>
        <v>0</v>
      </c>
      <c r="AJ366" s="536"/>
      <c r="AK366" s="537"/>
      <c r="AL366" s="601">
        <f t="shared" si="115"/>
        <v>0</v>
      </c>
      <c r="AM366" s="604">
        <f t="shared" si="116"/>
        <v>0</v>
      </c>
      <c r="AN366" s="540"/>
      <c r="AO366" s="541"/>
      <c r="AP366" s="536">
        <v>1081</v>
      </c>
      <c r="AQ366" s="542">
        <v>965</v>
      </c>
      <c r="AR366" s="536">
        <v>770</v>
      </c>
      <c r="AS366" s="542">
        <v>566</v>
      </c>
      <c r="AT366" s="536">
        <v>797</v>
      </c>
      <c r="AU366" s="542">
        <v>911</v>
      </c>
      <c r="AV366" s="601">
        <f t="shared" si="117"/>
        <v>2648</v>
      </c>
      <c r="AW366" s="609">
        <f t="shared" si="118"/>
        <v>110.33333333333333</v>
      </c>
      <c r="AX366" s="603">
        <f t="shared" si="119"/>
        <v>2442</v>
      </c>
      <c r="AY366" s="610">
        <f t="shared" si="120"/>
        <v>101.75</v>
      </c>
      <c r="AZ366" s="611">
        <f t="shared" si="121"/>
        <v>1894.3333333333333</v>
      </c>
      <c r="BA366" s="603">
        <f t="shared" si="122"/>
        <v>1986.9833333333333</v>
      </c>
    </row>
    <row r="367" spans="1:53">
      <c r="A367" s="531" t="s">
        <v>164</v>
      </c>
      <c r="B367" s="532" t="s">
        <v>897</v>
      </c>
      <c r="C367" s="554" t="s">
        <v>448</v>
      </c>
      <c r="D367" s="533">
        <v>207847</v>
      </c>
      <c r="E367" s="550">
        <v>5</v>
      </c>
      <c r="F367" s="534" t="s">
        <v>52</v>
      </c>
      <c r="G367" s="535" t="s">
        <v>52</v>
      </c>
      <c r="H367" s="536"/>
      <c r="I367" s="537"/>
      <c r="J367" s="536">
        <v>43335</v>
      </c>
      <c r="K367" s="537">
        <v>41875</v>
      </c>
      <c r="L367" s="536">
        <v>9625</v>
      </c>
      <c r="M367" s="537">
        <v>9763</v>
      </c>
      <c r="N367" s="536">
        <v>46768</v>
      </c>
      <c r="O367" s="538">
        <v>46242</v>
      </c>
      <c r="P367" s="601">
        <f t="shared" si="105"/>
        <v>99728</v>
      </c>
      <c r="Q367" s="602">
        <f t="shared" si="106"/>
        <v>3324.2666666666669</v>
      </c>
      <c r="R367" s="603">
        <f t="shared" si="107"/>
        <v>97880</v>
      </c>
      <c r="S367" s="604">
        <f t="shared" si="108"/>
        <v>3262.6666666666665</v>
      </c>
      <c r="T367" s="536">
        <v>673</v>
      </c>
      <c r="U367" s="530">
        <v>1492</v>
      </c>
      <c r="V367" s="601">
        <f t="shared" si="109"/>
        <v>99728</v>
      </c>
      <c r="W367" s="605">
        <f t="shared" si="110"/>
        <v>97880</v>
      </c>
      <c r="X367" s="539"/>
      <c r="Y367" s="537"/>
      <c r="Z367" s="536"/>
      <c r="AA367" s="537"/>
      <c r="AB367" s="536"/>
      <c r="AC367" s="537"/>
      <c r="AD367" s="536"/>
      <c r="AE367" s="537"/>
      <c r="AF367" s="601">
        <f t="shared" si="111"/>
        <v>0</v>
      </c>
      <c r="AG367" s="602">
        <f t="shared" si="112"/>
        <v>0</v>
      </c>
      <c r="AH367" s="603">
        <f t="shared" si="113"/>
        <v>0</v>
      </c>
      <c r="AI367" s="603">
        <f t="shared" si="114"/>
        <v>0</v>
      </c>
      <c r="AJ367" s="536"/>
      <c r="AK367" s="537"/>
      <c r="AL367" s="601">
        <f t="shared" si="115"/>
        <v>0</v>
      </c>
      <c r="AM367" s="604">
        <f t="shared" si="116"/>
        <v>0</v>
      </c>
      <c r="AN367" s="540"/>
      <c r="AO367" s="541"/>
      <c r="AP367" s="536">
        <v>2336</v>
      </c>
      <c r="AQ367" s="542">
        <v>2540</v>
      </c>
      <c r="AR367" s="536">
        <v>1136</v>
      </c>
      <c r="AS367" s="542">
        <v>1179</v>
      </c>
      <c r="AT367" s="536">
        <v>2369</v>
      </c>
      <c r="AU367" s="542">
        <v>2460</v>
      </c>
      <c r="AV367" s="601">
        <f t="shared" si="117"/>
        <v>5841</v>
      </c>
      <c r="AW367" s="609">
        <f t="shared" si="118"/>
        <v>243.375</v>
      </c>
      <c r="AX367" s="603">
        <f t="shared" si="119"/>
        <v>6179</v>
      </c>
      <c r="AY367" s="610">
        <f t="shared" si="120"/>
        <v>257.45833333333331</v>
      </c>
      <c r="AZ367" s="611">
        <f t="shared" si="121"/>
        <v>3567.6416666666669</v>
      </c>
      <c r="BA367" s="603">
        <f t="shared" si="122"/>
        <v>3520.125</v>
      </c>
    </row>
    <row r="368" spans="1:53">
      <c r="A368" s="531" t="s">
        <v>164</v>
      </c>
      <c r="B368" s="532" t="s">
        <v>898</v>
      </c>
      <c r="C368" s="554"/>
      <c r="D368" s="533">
        <v>207865</v>
      </c>
      <c r="E368" s="550">
        <v>5</v>
      </c>
      <c r="F368" s="534" t="s">
        <v>52</v>
      </c>
      <c r="G368" s="535" t="s">
        <v>52</v>
      </c>
      <c r="H368" s="536"/>
      <c r="I368" s="537"/>
      <c r="J368" s="536">
        <v>54770</v>
      </c>
      <c r="K368" s="537">
        <v>54953</v>
      </c>
      <c r="L368" s="536">
        <v>9286</v>
      </c>
      <c r="M368" s="537">
        <v>9752</v>
      </c>
      <c r="N368" s="536">
        <v>60246</v>
      </c>
      <c r="O368" s="538">
        <v>60072</v>
      </c>
      <c r="P368" s="601">
        <f t="shared" si="105"/>
        <v>124302</v>
      </c>
      <c r="Q368" s="602">
        <f t="shared" si="106"/>
        <v>4143.3999999999996</v>
      </c>
      <c r="R368" s="603">
        <f t="shared" si="107"/>
        <v>124777</v>
      </c>
      <c r="S368" s="604">
        <f t="shared" si="108"/>
        <v>4159.2333333333336</v>
      </c>
      <c r="T368" s="536">
        <v>669</v>
      </c>
      <c r="U368" s="530">
        <v>1578</v>
      </c>
      <c r="V368" s="601">
        <f t="shared" si="109"/>
        <v>124302</v>
      </c>
      <c r="W368" s="605">
        <f t="shared" si="110"/>
        <v>124777</v>
      </c>
      <c r="X368" s="539"/>
      <c r="Y368" s="537"/>
      <c r="Z368" s="536"/>
      <c r="AA368" s="537"/>
      <c r="AB368" s="536"/>
      <c r="AC368" s="537"/>
      <c r="AD368" s="536"/>
      <c r="AE368" s="537"/>
      <c r="AF368" s="601">
        <f t="shared" si="111"/>
        <v>0</v>
      </c>
      <c r="AG368" s="602">
        <f t="shared" si="112"/>
        <v>0</v>
      </c>
      <c r="AH368" s="603">
        <f t="shared" si="113"/>
        <v>0</v>
      </c>
      <c r="AI368" s="603">
        <f t="shared" si="114"/>
        <v>0</v>
      </c>
      <c r="AJ368" s="536"/>
      <c r="AK368" s="537"/>
      <c r="AL368" s="601">
        <f t="shared" si="115"/>
        <v>0</v>
      </c>
      <c r="AM368" s="604">
        <f t="shared" si="116"/>
        <v>0</v>
      </c>
      <c r="AN368" s="540"/>
      <c r="AO368" s="541"/>
      <c r="AP368" s="536">
        <v>5666</v>
      </c>
      <c r="AQ368" s="542">
        <v>5593</v>
      </c>
      <c r="AR368" s="536">
        <v>2782</v>
      </c>
      <c r="AS368" s="542">
        <v>3039</v>
      </c>
      <c r="AT368" s="536">
        <v>5329</v>
      </c>
      <c r="AU368" s="542">
        <v>5546</v>
      </c>
      <c r="AV368" s="601">
        <f t="shared" si="117"/>
        <v>13777</v>
      </c>
      <c r="AW368" s="609">
        <f t="shared" si="118"/>
        <v>574.04166666666663</v>
      </c>
      <c r="AX368" s="603">
        <f t="shared" si="119"/>
        <v>14178</v>
      </c>
      <c r="AY368" s="610">
        <f t="shared" si="120"/>
        <v>590.75</v>
      </c>
      <c r="AZ368" s="611">
        <f t="shared" si="121"/>
        <v>4717.4416666666666</v>
      </c>
      <c r="BA368" s="603">
        <f t="shared" si="122"/>
        <v>4749.9833333333336</v>
      </c>
    </row>
    <row r="369" spans="1:53">
      <c r="A369" s="531" t="s">
        <v>164</v>
      </c>
      <c r="B369" s="532" t="s">
        <v>899</v>
      </c>
      <c r="C369" s="554"/>
      <c r="D369" s="533">
        <v>207351</v>
      </c>
      <c r="E369" s="550">
        <v>6</v>
      </c>
      <c r="F369" s="534" t="s">
        <v>52</v>
      </c>
      <c r="G369" s="535" t="s">
        <v>52</v>
      </c>
      <c r="H369" s="536"/>
      <c r="I369" s="537"/>
      <c r="J369" s="536">
        <v>16704</v>
      </c>
      <c r="K369" s="537">
        <v>16985</v>
      </c>
      <c r="L369" s="536">
        <v>1945</v>
      </c>
      <c r="M369" s="537">
        <v>0</v>
      </c>
      <c r="N369" s="536">
        <v>18763</v>
      </c>
      <c r="O369" s="538">
        <v>19682</v>
      </c>
      <c r="P369" s="601">
        <f t="shared" si="105"/>
        <v>37412</v>
      </c>
      <c r="Q369" s="602">
        <f t="shared" si="106"/>
        <v>1247.0666666666666</v>
      </c>
      <c r="R369" s="603">
        <f t="shared" si="107"/>
        <v>36667</v>
      </c>
      <c r="S369" s="604">
        <f t="shared" si="108"/>
        <v>1222.2333333333333</v>
      </c>
      <c r="T369" s="536">
        <v>174</v>
      </c>
      <c r="U369" s="530">
        <v>531</v>
      </c>
      <c r="V369" s="601">
        <f t="shared" si="109"/>
        <v>37412</v>
      </c>
      <c r="W369" s="605">
        <f t="shared" si="110"/>
        <v>36667</v>
      </c>
      <c r="X369" s="539"/>
      <c r="Y369" s="537"/>
      <c r="Z369" s="536"/>
      <c r="AA369" s="537"/>
      <c r="AB369" s="536"/>
      <c r="AC369" s="537"/>
      <c r="AD369" s="536"/>
      <c r="AE369" s="537"/>
      <c r="AF369" s="601">
        <f t="shared" si="111"/>
        <v>0</v>
      </c>
      <c r="AG369" s="602">
        <f t="shared" si="112"/>
        <v>0</v>
      </c>
      <c r="AH369" s="603">
        <f t="shared" si="113"/>
        <v>0</v>
      </c>
      <c r="AI369" s="603">
        <f t="shared" si="114"/>
        <v>0</v>
      </c>
      <c r="AJ369" s="536"/>
      <c r="AK369" s="537"/>
      <c r="AL369" s="601">
        <f t="shared" si="115"/>
        <v>0</v>
      </c>
      <c r="AM369" s="604">
        <f t="shared" si="116"/>
        <v>0</v>
      </c>
      <c r="AN369" s="540"/>
      <c r="AO369" s="541"/>
      <c r="AP369" s="536"/>
      <c r="AQ369" s="542"/>
      <c r="AR369" s="536"/>
      <c r="AS369" s="542"/>
      <c r="AT369" s="536"/>
      <c r="AU369" s="542"/>
      <c r="AV369" s="601">
        <f t="shared" si="117"/>
        <v>0</v>
      </c>
      <c r="AW369" s="609">
        <f t="shared" si="118"/>
        <v>0</v>
      </c>
      <c r="AX369" s="603">
        <f t="shared" si="119"/>
        <v>0</v>
      </c>
      <c r="AY369" s="610">
        <f t="shared" si="120"/>
        <v>0</v>
      </c>
      <c r="AZ369" s="611">
        <f t="shared" si="121"/>
        <v>1247.0666666666666</v>
      </c>
      <c r="BA369" s="603">
        <f t="shared" si="122"/>
        <v>1222.2333333333333</v>
      </c>
    </row>
    <row r="370" spans="1:53">
      <c r="A370" s="543" t="s">
        <v>164</v>
      </c>
      <c r="B370" s="544" t="s">
        <v>900</v>
      </c>
      <c r="C370" s="555"/>
      <c r="D370" s="545">
        <v>207661</v>
      </c>
      <c r="E370" s="551">
        <v>6</v>
      </c>
      <c r="F370" s="534" t="s">
        <v>52</v>
      </c>
      <c r="G370" s="535" t="s">
        <v>52</v>
      </c>
      <c r="H370" s="536"/>
      <c r="I370" s="537"/>
      <c r="J370" s="536">
        <v>44724</v>
      </c>
      <c r="K370" s="537">
        <v>45542</v>
      </c>
      <c r="L370" s="536">
        <v>7570</v>
      </c>
      <c r="M370" s="537">
        <v>7889</v>
      </c>
      <c r="N370" s="536">
        <v>48041</v>
      </c>
      <c r="O370" s="538">
        <v>51415</v>
      </c>
      <c r="P370" s="601">
        <f t="shared" si="105"/>
        <v>100335</v>
      </c>
      <c r="Q370" s="602">
        <f t="shared" si="106"/>
        <v>3344.5</v>
      </c>
      <c r="R370" s="603">
        <f t="shared" si="107"/>
        <v>104846</v>
      </c>
      <c r="S370" s="604">
        <f t="shared" si="108"/>
        <v>3494.8666666666668</v>
      </c>
      <c r="T370" s="536">
        <v>1879</v>
      </c>
      <c r="U370" s="530">
        <v>4439</v>
      </c>
      <c r="V370" s="601">
        <f t="shared" si="109"/>
        <v>100335</v>
      </c>
      <c r="W370" s="605">
        <f t="shared" si="110"/>
        <v>104846</v>
      </c>
      <c r="X370" s="539"/>
      <c r="Y370" s="537"/>
      <c r="Z370" s="536"/>
      <c r="AA370" s="537"/>
      <c r="AB370" s="536"/>
      <c r="AC370" s="537"/>
      <c r="AD370" s="536"/>
      <c r="AE370" s="537"/>
      <c r="AF370" s="601">
        <f t="shared" si="111"/>
        <v>0</v>
      </c>
      <c r="AG370" s="602">
        <f t="shared" si="112"/>
        <v>0</v>
      </c>
      <c r="AH370" s="603">
        <f t="shared" si="113"/>
        <v>0</v>
      </c>
      <c r="AI370" s="603">
        <f t="shared" si="114"/>
        <v>0</v>
      </c>
      <c r="AJ370" s="536"/>
      <c r="AK370" s="537"/>
      <c r="AL370" s="601">
        <f t="shared" si="115"/>
        <v>0</v>
      </c>
      <c r="AM370" s="604">
        <f t="shared" si="116"/>
        <v>0</v>
      </c>
      <c r="AN370" s="540"/>
      <c r="AO370" s="541"/>
      <c r="AP370" s="536"/>
      <c r="AQ370" s="542"/>
      <c r="AR370" s="536"/>
      <c r="AS370" s="542"/>
      <c r="AT370" s="536"/>
      <c r="AU370" s="542"/>
      <c r="AV370" s="601">
        <f t="shared" si="117"/>
        <v>0</v>
      </c>
      <c r="AW370" s="609">
        <f t="shared" si="118"/>
        <v>0</v>
      </c>
      <c r="AX370" s="603">
        <f t="shared" si="119"/>
        <v>0</v>
      </c>
      <c r="AY370" s="610">
        <f t="shared" si="120"/>
        <v>0</v>
      </c>
      <c r="AZ370" s="611">
        <f t="shared" si="121"/>
        <v>3344.5</v>
      </c>
      <c r="BA370" s="603">
        <f t="shared" si="122"/>
        <v>3494.8666666666668</v>
      </c>
    </row>
    <row r="371" spans="1:53">
      <c r="A371" s="531" t="s">
        <v>164</v>
      </c>
      <c r="B371" s="532" t="s">
        <v>901</v>
      </c>
      <c r="C371" s="554"/>
      <c r="D371" s="533">
        <v>207722</v>
      </c>
      <c r="E371" s="550">
        <v>6</v>
      </c>
      <c r="F371" s="534" t="s">
        <v>52</v>
      </c>
      <c r="G371" s="535" t="s">
        <v>52</v>
      </c>
      <c r="H371" s="536"/>
      <c r="I371" s="537"/>
      <c r="J371" s="536">
        <v>12817</v>
      </c>
      <c r="K371" s="537">
        <v>12170</v>
      </c>
      <c r="L371" s="536">
        <v>4812</v>
      </c>
      <c r="M371" s="537">
        <v>5124</v>
      </c>
      <c r="N371" s="536">
        <v>13569</v>
      </c>
      <c r="O371" s="538">
        <v>13516</v>
      </c>
      <c r="P371" s="601">
        <f t="shared" si="105"/>
        <v>31198</v>
      </c>
      <c r="Q371" s="602">
        <f t="shared" si="106"/>
        <v>1039.9333333333334</v>
      </c>
      <c r="R371" s="603">
        <f t="shared" si="107"/>
        <v>30810</v>
      </c>
      <c r="S371" s="604">
        <f t="shared" si="108"/>
        <v>1027</v>
      </c>
      <c r="T371" s="536">
        <v>10</v>
      </c>
      <c r="U371" s="530">
        <v>107</v>
      </c>
      <c r="V371" s="601">
        <f t="shared" si="109"/>
        <v>31198</v>
      </c>
      <c r="W371" s="605">
        <f t="shared" si="110"/>
        <v>30810</v>
      </c>
      <c r="X371" s="539"/>
      <c r="Y371" s="537"/>
      <c r="Z371" s="536"/>
      <c r="AA371" s="537"/>
      <c r="AB371" s="536"/>
      <c r="AC371" s="537"/>
      <c r="AD371" s="536"/>
      <c r="AE371" s="537"/>
      <c r="AF371" s="601">
        <f t="shared" si="111"/>
        <v>0</v>
      </c>
      <c r="AG371" s="602">
        <f t="shared" si="112"/>
        <v>0</v>
      </c>
      <c r="AH371" s="603">
        <f t="shared" si="113"/>
        <v>0</v>
      </c>
      <c r="AI371" s="603">
        <f t="shared" si="114"/>
        <v>0</v>
      </c>
      <c r="AJ371" s="536"/>
      <c r="AK371" s="537"/>
      <c r="AL371" s="601">
        <f t="shared" si="115"/>
        <v>0</v>
      </c>
      <c r="AM371" s="604">
        <f t="shared" si="116"/>
        <v>0</v>
      </c>
      <c r="AN371" s="540"/>
      <c r="AO371" s="541"/>
      <c r="AP371" s="536"/>
      <c r="AQ371" s="542"/>
      <c r="AR371" s="536"/>
      <c r="AS371" s="542"/>
      <c r="AT371" s="536"/>
      <c r="AU371" s="542"/>
      <c r="AV371" s="601">
        <f t="shared" si="117"/>
        <v>0</v>
      </c>
      <c r="AW371" s="609">
        <f t="shared" si="118"/>
        <v>0</v>
      </c>
      <c r="AX371" s="603">
        <f t="shared" si="119"/>
        <v>0</v>
      </c>
      <c r="AY371" s="610">
        <f t="shared" si="120"/>
        <v>0</v>
      </c>
      <c r="AZ371" s="611">
        <f t="shared" si="121"/>
        <v>1039.9333333333334</v>
      </c>
      <c r="BA371" s="603">
        <f t="shared" si="122"/>
        <v>1027</v>
      </c>
    </row>
    <row r="372" spans="1:53">
      <c r="A372" s="546" t="s">
        <v>164</v>
      </c>
      <c r="B372" s="547" t="s">
        <v>902</v>
      </c>
      <c r="C372" s="554"/>
      <c r="D372" s="548">
        <v>207564</v>
      </c>
      <c r="E372" s="552">
        <v>7</v>
      </c>
      <c r="F372" s="534" t="s">
        <v>52</v>
      </c>
      <c r="G372" s="535" t="s">
        <v>52</v>
      </c>
      <c r="H372" s="536"/>
      <c r="I372" s="537"/>
      <c r="J372" s="536">
        <v>35917</v>
      </c>
      <c r="K372" s="537">
        <v>33722</v>
      </c>
      <c r="L372" s="536">
        <v>21976</v>
      </c>
      <c r="M372" s="537">
        <v>23376</v>
      </c>
      <c r="N372" s="536">
        <v>38889</v>
      </c>
      <c r="O372" s="538">
        <v>38717</v>
      </c>
      <c r="P372" s="601">
        <f t="shared" si="105"/>
        <v>96782</v>
      </c>
      <c r="Q372" s="602">
        <f t="shared" si="106"/>
        <v>3226.0666666666666</v>
      </c>
      <c r="R372" s="603">
        <f t="shared" si="107"/>
        <v>95815</v>
      </c>
      <c r="S372" s="604">
        <f t="shared" si="108"/>
        <v>3193.8333333333335</v>
      </c>
      <c r="T372" s="536">
        <v>1701</v>
      </c>
      <c r="U372" s="530">
        <v>6242</v>
      </c>
      <c r="V372" s="601">
        <f t="shared" si="109"/>
        <v>96782</v>
      </c>
      <c r="W372" s="605">
        <f t="shared" si="110"/>
        <v>95815</v>
      </c>
      <c r="X372" s="539"/>
      <c r="Y372" s="537"/>
      <c r="Z372" s="536"/>
      <c r="AA372" s="537"/>
      <c r="AB372" s="536"/>
      <c r="AC372" s="537"/>
      <c r="AD372" s="536"/>
      <c r="AE372" s="537"/>
      <c r="AF372" s="601">
        <f t="shared" si="111"/>
        <v>0</v>
      </c>
      <c r="AG372" s="602">
        <f t="shared" si="112"/>
        <v>0</v>
      </c>
      <c r="AH372" s="603">
        <f t="shared" si="113"/>
        <v>0</v>
      </c>
      <c r="AI372" s="603">
        <f t="shared" si="114"/>
        <v>0</v>
      </c>
      <c r="AJ372" s="536"/>
      <c r="AK372" s="537"/>
      <c r="AL372" s="601">
        <f t="shared" si="115"/>
        <v>0</v>
      </c>
      <c r="AM372" s="604">
        <f t="shared" si="116"/>
        <v>0</v>
      </c>
      <c r="AN372" s="540"/>
      <c r="AO372" s="541"/>
      <c r="AP372" s="536"/>
      <c r="AQ372" s="542"/>
      <c r="AR372" s="536"/>
      <c r="AS372" s="542"/>
      <c r="AT372" s="536"/>
      <c r="AU372" s="542"/>
      <c r="AV372" s="601">
        <f t="shared" si="117"/>
        <v>0</v>
      </c>
      <c r="AW372" s="609">
        <f t="shared" si="118"/>
        <v>0</v>
      </c>
      <c r="AX372" s="603">
        <f t="shared" si="119"/>
        <v>0</v>
      </c>
      <c r="AY372" s="610">
        <f t="shared" si="120"/>
        <v>0</v>
      </c>
      <c r="AZ372" s="611">
        <f t="shared" si="121"/>
        <v>3226.0666666666666</v>
      </c>
      <c r="BA372" s="603">
        <f t="shared" si="122"/>
        <v>3193.8333333333335</v>
      </c>
    </row>
    <row r="373" spans="1:53">
      <c r="A373" s="546" t="s">
        <v>164</v>
      </c>
      <c r="B373" s="532" t="s">
        <v>906</v>
      </c>
      <c r="C373" s="556" t="s">
        <v>916</v>
      </c>
      <c r="D373" s="548">
        <v>207397</v>
      </c>
      <c r="E373" s="553">
        <v>7</v>
      </c>
      <c r="F373" s="534" t="s">
        <v>52</v>
      </c>
      <c r="G373" s="535" t="s">
        <v>52</v>
      </c>
      <c r="H373" s="536"/>
      <c r="I373" s="537"/>
      <c r="J373" s="536">
        <v>61511</v>
      </c>
      <c r="K373" s="537">
        <v>72667</v>
      </c>
      <c r="L373" s="536">
        <v>19731</v>
      </c>
      <c r="M373" s="537">
        <v>20321</v>
      </c>
      <c r="N373" s="536">
        <v>78362</v>
      </c>
      <c r="O373" s="538">
        <v>76269</v>
      </c>
      <c r="P373" s="601">
        <f t="shared" si="105"/>
        <v>159604</v>
      </c>
      <c r="Q373" s="602">
        <f t="shared" si="106"/>
        <v>5320.1333333333332</v>
      </c>
      <c r="R373" s="603">
        <f t="shared" si="107"/>
        <v>169257</v>
      </c>
      <c r="S373" s="604">
        <f t="shared" si="108"/>
        <v>5641.9</v>
      </c>
      <c r="T373" s="536">
        <v>0</v>
      </c>
      <c r="U373" s="530">
        <v>1691</v>
      </c>
      <c r="V373" s="601">
        <f t="shared" si="109"/>
        <v>159604</v>
      </c>
      <c r="W373" s="605">
        <f t="shared" si="110"/>
        <v>169257</v>
      </c>
      <c r="X373" s="539"/>
      <c r="Y373" s="537"/>
      <c r="Z373" s="536"/>
      <c r="AA373" s="537"/>
      <c r="AB373" s="536"/>
      <c r="AC373" s="537"/>
      <c r="AD373" s="536"/>
      <c r="AE373" s="537"/>
      <c r="AF373" s="601">
        <f t="shared" si="111"/>
        <v>0</v>
      </c>
      <c r="AG373" s="602">
        <f t="shared" si="112"/>
        <v>0</v>
      </c>
      <c r="AH373" s="603">
        <f t="shared" si="113"/>
        <v>0</v>
      </c>
      <c r="AI373" s="603">
        <f t="shared" si="114"/>
        <v>0</v>
      </c>
      <c r="AJ373" s="536"/>
      <c r="AK373" s="537"/>
      <c r="AL373" s="601">
        <f t="shared" si="115"/>
        <v>0</v>
      </c>
      <c r="AM373" s="604">
        <f t="shared" si="116"/>
        <v>0</v>
      </c>
      <c r="AN373" s="540"/>
      <c r="AO373" s="541"/>
      <c r="AP373" s="536"/>
      <c r="AQ373" s="542"/>
      <c r="AR373" s="536"/>
      <c r="AS373" s="542"/>
      <c r="AT373" s="536"/>
      <c r="AU373" s="542">
        <v>54</v>
      </c>
      <c r="AV373" s="601">
        <f t="shared" si="117"/>
        <v>0</v>
      </c>
      <c r="AW373" s="609">
        <f t="shared" si="118"/>
        <v>0</v>
      </c>
      <c r="AX373" s="603">
        <f t="shared" si="119"/>
        <v>54</v>
      </c>
      <c r="AY373" s="610">
        <f t="shared" si="120"/>
        <v>2.25</v>
      </c>
      <c r="AZ373" s="611">
        <f t="shared" si="121"/>
        <v>5320.1333333333332</v>
      </c>
      <c r="BA373" s="603">
        <f t="shared" si="122"/>
        <v>5644.15</v>
      </c>
    </row>
    <row r="374" spans="1:53">
      <c r="A374" s="546" t="s">
        <v>164</v>
      </c>
      <c r="B374" s="549" t="s">
        <v>903</v>
      </c>
      <c r="C374" s="554"/>
      <c r="D374" s="548">
        <v>207449</v>
      </c>
      <c r="E374" s="552">
        <v>8</v>
      </c>
      <c r="F374" s="534" t="s">
        <v>52</v>
      </c>
      <c r="G374" s="535" t="s">
        <v>52</v>
      </c>
      <c r="H374" s="536"/>
      <c r="I374" s="537"/>
      <c r="J374" s="536">
        <v>123287</v>
      </c>
      <c r="K374" s="537">
        <v>125945</v>
      </c>
      <c r="L374" s="536">
        <v>32970</v>
      </c>
      <c r="M374" s="537">
        <v>34792</v>
      </c>
      <c r="N374" s="536">
        <v>134773</v>
      </c>
      <c r="O374" s="538">
        <v>133275</v>
      </c>
      <c r="P374" s="601">
        <f t="shared" si="105"/>
        <v>291030</v>
      </c>
      <c r="Q374" s="602">
        <f t="shared" si="106"/>
        <v>9701</v>
      </c>
      <c r="R374" s="603">
        <f t="shared" si="107"/>
        <v>294012</v>
      </c>
      <c r="S374" s="604">
        <f t="shared" si="108"/>
        <v>9800.4</v>
      </c>
      <c r="T374" s="536">
        <v>3326</v>
      </c>
      <c r="U374" s="530">
        <v>19475</v>
      </c>
      <c r="V374" s="601">
        <f t="shared" si="109"/>
        <v>291030</v>
      </c>
      <c r="W374" s="605">
        <f t="shared" si="110"/>
        <v>294012</v>
      </c>
      <c r="X374" s="539"/>
      <c r="Y374" s="537"/>
      <c r="Z374" s="536"/>
      <c r="AA374" s="537"/>
      <c r="AB374" s="536"/>
      <c r="AC374" s="537"/>
      <c r="AD374" s="536"/>
      <c r="AE374" s="537"/>
      <c r="AF374" s="601">
        <f t="shared" si="111"/>
        <v>0</v>
      </c>
      <c r="AG374" s="602">
        <f t="shared" si="112"/>
        <v>0</v>
      </c>
      <c r="AH374" s="603">
        <f t="shared" si="113"/>
        <v>0</v>
      </c>
      <c r="AI374" s="603">
        <f t="shared" si="114"/>
        <v>0</v>
      </c>
      <c r="AJ374" s="536"/>
      <c r="AK374" s="537"/>
      <c r="AL374" s="601">
        <f t="shared" si="115"/>
        <v>0</v>
      </c>
      <c r="AM374" s="604">
        <f t="shared" si="116"/>
        <v>0</v>
      </c>
      <c r="AN374" s="540"/>
      <c r="AO374" s="541"/>
      <c r="AP374" s="536"/>
      <c r="AQ374" s="542"/>
      <c r="AR374" s="536"/>
      <c r="AS374" s="542"/>
      <c r="AT374" s="536"/>
      <c r="AU374" s="542"/>
      <c r="AV374" s="601">
        <f t="shared" si="117"/>
        <v>0</v>
      </c>
      <c r="AW374" s="609">
        <f t="shared" si="118"/>
        <v>0</v>
      </c>
      <c r="AX374" s="603">
        <f t="shared" si="119"/>
        <v>0</v>
      </c>
      <c r="AY374" s="610">
        <f t="shared" si="120"/>
        <v>0</v>
      </c>
      <c r="AZ374" s="611">
        <f t="shared" si="121"/>
        <v>9701</v>
      </c>
      <c r="BA374" s="603">
        <f t="shared" si="122"/>
        <v>9800.4</v>
      </c>
    </row>
    <row r="375" spans="1:53">
      <c r="A375" s="546" t="s">
        <v>164</v>
      </c>
      <c r="B375" s="532" t="s">
        <v>907</v>
      </c>
      <c r="C375" s="556" t="s">
        <v>917</v>
      </c>
      <c r="D375" s="548">
        <v>207670</v>
      </c>
      <c r="E375" s="553">
        <v>8</v>
      </c>
      <c r="F375" s="534" t="s">
        <v>52</v>
      </c>
      <c r="G375" s="535" t="s">
        <v>52</v>
      </c>
      <c r="H375" s="536"/>
      <c r="I375" s="537"/>
      <c r="J375" s="536">
        <v>69647</v>
      </c>
      <c r="K375" s="537">
        <v>71497</v>
      </c>
      <c r="L375" s="536">
        <v>18117</v>
      </c>
      <c r="M375" s="537">
        <v>18714</v>
      </c>
      <c r="N375" s="536">
        <v>79823</v>
      </c>
      <c r="O375" s="538">
        <v>71795</v>
      </c>
      <c r="P375" s="601">
        <f t="shared" si="105"/>
        <v>167587</v>
      </c>
      <c r="Q375" s="602">
        <f t="shared" si="106"/>
        <v>5586.2333333333336</v>
      </c>
      <c r="R375" s="603">
        <f t="shared" si="107"/>
        <v>162006</v>
      </c>
      <c r="S375" s="604">
        <f t="shared" si="108"/>
        <v>5400.2</v>
      </c>
      <c r="T375" s="536">
        <v>2246</v>
      </c>
      <c r="U375" s="530">
        <v>3652</v>
      </c>
      <c r="V375" s="601">
        <f t="shared" si="109"/>
        <v>167587</v>
      </c>
      <c r="W375" s="605">
        <f t="shared" si="110"/>
        <v>162006</v>
      </c>
      <c r="X375" s="539"/>
      <c r="Y375" s="537"/>
      <c r="Z375" s="536"/>
      <c r="AA375" s="537"/>
      <c r="AB375" s="536"/>
      <c r="AC375" s="537"/>
      <c r="AD375" s="536"/>
      <c r="AE375" s="537"/>
      <c r="AF375" s="601">
        <f t="shared" si="111"/>
        <v>0</v>
      </c>
      <c r="AG375" s="602">
        <f t="shared" si="112"/>
        <v>0</v>
      </c>
      <c r="AH375" s="603">
        <f t="shared" si="113"/>
        <v>0</v>
      </c>
      <c r="AI375" s="603">
        <f t="shared" si="114"/>
        <v>0</v>
      </c>
      <c r="AJ375" s="536"/>
      <c r="AK375" s="537"/>
      <c r="AL375" s="601">
        <f t="shared" si="115"/>
        <v>0</v>
      </c>
      <c r="AM375" s="604">
        <f t="shared" si="116"/>
        <v>0</v>
      </c>
      <c r="AN375" s="540"/>
      <c r="AO375" s="541"/>
      <c r="AP375" s="536"/>
      <c r="AQ375" s="542"/>
      <c r="AR375" s="536"/>
      <c r="AS375" s="542"/>
      <c r="AT375" s="536"/>
      <c r="AU375" s="542"/>
      <c r="AV375" s="601">
        <f t="shared" si="117"/>
        <v>0</v>
      </c>
      <c r="AW375" s="609">
        <f t="shared" si="118"/>
        <v>0</v>
      </c>
      <c r="AX375" s="603">
        <f t="shared" si="119"/>
        <v>0</v>
      </c>
      <c r="AY375" s="610">
        <f t="shared" si="120"/>
        <v>0</v>
      </c>
      <c r="AZ375" s="611">
        <f t="shared" si="121"/>
        <v>5586.2333333333336</v>
      </c>
      <c r="BA375" s="603">
        <f t="shared" si="122"/>
        <v>5400.2</v>
      </c>
    </row>
    <row r="376" spans="1:53">
      <c r="A376" s="546" t="s">
        <v>164</v>
      </c>
      <c r="B376" s="547" t="s">
        <v>904</v>
      </c>
      <c r="C376" s="554"/>
      <c r="D376" s="548">
        <v>207935</v>
      </c>
      <c r="E376" s="552">
        <v>8</v>
      </c>
      <c r="F376" s="534" t="s">
        <v>52</v>
      </c>
      <c r="G376" s="535" t="s">
        <v>52</v>
      </c>
      <c r="H376" s="536"/>
      <c r="I376" s="537"/>
      <c r="J376" s="536">
        <v>172249</v>
      </c>
      <c r="K376" s="537">
        <v>168178</v>
      </c>
      <c r="L376" s="536">
        <v>51460</v>
      </c>
      <c r="M376" s="537">
        <v>49710</v>
      </c>
      <c r="N376" s="536">
        <v>183730</v>
      </c>
      <c r="O376" s="538">
        <v>179122</v>
      </c>
      <c r="P376" s="601">
        <f t="shared" si="105"/>
        <v>407439</v>
      </c>
      <c r="Q376" s="602">
        <f t="shared" si="106"/>
        <v>13581.3</v>
      </c>
      <c r="R376" s="603">
        <f t="shared" si="107"/>
        <v>397010</v>
      </c>
      <c r="S376" s="604">
        <f t="shared" si="108"/>
        <v>13233.666666666666</v>
      </c>
      <c r="T376" s="536">
        <v>4817</v>
      </c>
      <c r="U376" s="530">
        <v>13897</v>
      </c>
      <c r="V376" s="601">
        <f t="shared" si="109"/>
        <v>407439</v>
      </c>
      <c r="W376" s="605">
        <f t="shared" si="110"/>
        <v>397010</v>
      </c>
      <c r="X376" s="539"/>
      <c r="Y376" s="537"/>
      <c r="Z376" s="536"/>
      <c r="AA376" s="537"/>
      <c r="AB376" s="536"/>
      <c r="AC376" s="537"/>
      <c r="AD376" s="536"/>
      <c r="AE376" s="537"/>
      <c r="AF376" s="601">
        <f t="shared" si="111"/>
        <v>0</v>
      </c>
      <c r="AG376" s="602">
        <f t="shared" si="112"/>
        <v>0</v>
      </c>
      <c r="AH376" s="603">
        <f t="shared" si="113"/>
        <v>0</v>
      </c>
      <c r="AI376" s="603">
        <f t="shared" si="114"/>
        <v>0</v>
      </c>
      <c r="AJ376" s="536"/>
      <c r="AK376" s="537"/>
      <c r="AL376" s="601">
        <f t="shared" si="115"/>
        <v>0</v>
      </c>
      <c r="AM376" s="604">
        <f t="shared" si="116"/>
        <v>0</v>
      </c>
      <c r="AN376" s="540"/>
      <c r="AO376" s="541"/>
      <c r="AP376" s="536"/>
      <c r="AQ376" s="542"/>
      <c r="AR376" s="536"/>
      <c r="AS376" s="542"/>
      <c r="AT376" s="536"/>
      <c r="AU376" s="542"/>
      <c r="AV376" s="601">
        <f t="shared" si="117"/>
        <v>0</v>
      </c>
      <c r="AW376" s="609">
        <f t="shared" si="118"/>
        <v>0</v>
      </c>
      <c r="AX376" s="603">
        <f t="shared" si="119"/>
        <v>0</v>
      </c>
      <c r="AY376" s="610">
        <f t="shared" si="120"/>
        <v>0</v>
      </c>
      <c r="AZ376" s="611">
        <f t="shared" si="121"/>
        <v>13581.3</v>
      </c>
      <c r="BA376" s="603">
        <f t="shared" si="122"/>
        <v>13233.666666666666</v>
      </c>
    </row>
    <row r="377" spans="1:53">
      <c r="A377" s="546" t="s">
        <v>164</v>
      </c>
      <c r="B377" s="549" t="s">
        <v>905</v>
      </c>
      <c r="C377" s="554"/>
      <c r="D377" s="548">
        <v>207281</v>
      </c>
      <c r="E377" s="552">
        <v>9</v>
      </c>
      <c r="F377" s="534" t="s">
        <v>52</v>
      </c>
      <c r="G377" s="535" t="s">
        <v>52</v>
      </c>
      <c r="H377" s="536"/>
      <c r="I377" s="537"/>
      <c r="J377" s="536">
        <v>49803</v>
      </c>
      <c r="K377" s="537">
        <v>51117</v>
      </c>
      <c r="L377" s="536">
        <v>8095</v>
      </c>
      <c r="M377" s="537">
        <v>15509</v>
      </c>
      <c r="N377" s="536">
        <v>54606</v>
      </c>
      <c r="O377" s="538">
        <v>53704</v>
      </c>
      <c r="P377" s="601">
        <f t="shared" si="105"/>
        <v>112504</v>
      </c>
      <c r="Q377" s="602">
        <f t="shared" si="106"/>
        <v>3750.1333333333332</v>
      </c>
      <c r="R377" s="603">
        <f t="shared" si="107"/>
        <v>120330</v>
      </c>
      <c r="S377" s="604">
        <f t="shared" si="108"/>
        <v>4011</v>
      </c>
      <c r="T377" s="536">
        <v>3103</v>
      </c>
      <c r="U377" s="530">
        <v>6788</v>
      </c>
      <c r="V377" s="601">
        <f t="shared" si="109"/>
        <v>112504</v>
      </c>
      <c r="W377" s="605">
        <f t="shared" si="110"/>
        <v>120330</v>
      </c>
      <c r="X377" s="539"/>
      <c r="Y377" s="537"/>
      <c r="Z377" s="536"/>
      <c r="AA377" s="537"/>
      <c r="AB377" s="536"/>
      <c r="AC377" s="537"/>
      <c r="AD377" s="536"/>
      <c r="AE377" s="537"/>
      <c r="AF377" s="601">
        <f t="shared" si="111"/>
        <v>0</v>
      </c>
      <c r="AG377" s="602">
        <f t="shared" si="112"/>
        <v>0</v>
      </c>
      <c r="AH377" s="603">
        <f t="shared" si="113"/>
        <v>0</v>
      </c>
      <c r="AI377" s="603">
        <f t="shared" si="114"/>
        <v>0</v>
      </c>
      <c r="AJ377" s="536"/>
      <c r="AK377" s="537"/>
      <c r="AL377" s="601">
        <f t="shared" si="115"/>
        <v>0</v>
      </c>
      <c r="AM377" s="604">
        <f t="shared" si="116"/>
        <v>0</v>
      </c>
      <c r="AN377" s="540"/>
      <c r="AO377" s="541"/>
      <c r="AP377" s="536"/>
      <c r="AQ377" s="542"/>
      <c r="AR377" s="536"/>
      <c r="AS377" s="542"/>
      <c r="AT377" s="536"/>
      <c r="AU377" s="542"/>
      <c r="AV377" s="601">
        <f t="shared" si="117"/>
        <v>0</v>
      </c>
      <c r="AW377" s="609">
        <f t="shared" si="118"/>
        <v>0</v>
      </c>
      <c r="AX377" s="603">
        <f t="shared" si="119"/>
        <v>0</v>
      </c>
      <c r="AY377" s="610">
        <f t="shared" si="120"/>
        <v>0</v>
      </c>
      <c r="AZ377" s="611">
        <f t="shared" si="121"/>
        <v>3750.1333333333332</v>
      </c>
      <c r="BA377" s="603">
        <f t="shared" si="122"/>
        <v>4011</v>
      </c>
    </row>
    <row r="378" spans="1:53">
      <c r="A378" s="546" t="s">
        <v>164</v>
      </c>
      <c r="B378" s="532" t="s">
        <v>908</v>
      </c>
      <c r="C378" s="554" t="s">
        <v>918</v>
      </c>
      <c r="D378" s="548">
        <v>206923</v>
      </c>
      <c r="E378" s="552">
        <v>10</v>
      </c>
      <c r="F378" s="534" t="s">
        <v>52</v>
      </c>
      <c r="G378" s="535" t="s">
        <v>52</v>
      </c>
      <c r="H378" s="536"/>
      <c r="I378" s="537"/>
      <c r="J378" s="536">
        <v>28212</v>
      </c>
      <c r="K378" s="537">
        <v>28041</v>
      </c>
      <c r="L378" s="536">
        <v>6312</v>
      </c>
      <c r="M378" s="537">
        <v>5656</v>
      </c>
      <c r="N378" s="536">
        <v>30883</v>
      </c>
      <c r="O378" s="538">
        <v>29644</v>
      </c>
      <c r="P378" s="601">
        <f t="shared" si="105"/>
        <v>65407</v>
      </c>
      <c r="Q378" s="602">
        <f t="shared" si="106"/>
        <v>2180.2333333333331</v>
      </c>
      <c r="R378" s="603">
        <f t="shared" si="107"/>
        <v>63341</v>
      </c>
      <c r="S378" s="604">
        <f t="shared" si="108"/>
        <v>2111.3666666666668</v>
      </c>
      <c r="T378" s="536">
        <v>916</v>
      </c>
      <c r="U378" s="530">
        <v>2257</v>
      </c>
      <c r="V378" s="601">
        <f t="shared" si="109"/>
        <v>65407</v>
      </c>
      <c r="W378" s="605">
        <f t="shared" si="110"/>
        <v>63341</v>
      </c>
      <c r="X378" s="539"/>
      <c r="Y378" s="537"/>
      <c r="Z378" s="536"/>
      <c r="AA378" s="537"/>
      <c r="AB378" s="536"/>
      <c r="AC378" s="537"/>
      <c r="AD378" s="536"/>
      <c r="AE378" s="537"/>
      <c r="AF378" s="601">
        <f t="shared" si="111"/>
        <v>0</v>
      </c>
      <c r="AG378" s="602">
        <f t="shared" si="112"/>
        <v>0</v>
      </c>
      <c r="AH378" s="603">
        <f t="shared" si="113"/>
        <v>0</v>
      </c>
      <c r="AI378" s="603">
        <f t="shared" si="114"/>
        <v>0</v>
      </c>
      <c r="AJ378" s="536"/>
      <c r="AK378" s="537"/>
      <c r="AL378" s="601">
        <f t="shared" si="115"/>
        <v>0</v>
      </c>
      <c r="AM378" s="604">
        <f t="shared" si="116"/>
        <v>0</v>
      </c>
      <c r="AN378" s="540"/>
      <c r="AO378" s="541"/>
      <c r="AP378" s="536"/>
      <c r="AQ378" s="542"/>
      <c r="AR378" s="536"/>
      <c r="AS378" s="542"/>
      <c r="AT378" s="536"/>
      <c r="AU378" s="542"/>
      <c r="AV378" s="601">
        <f t="shared" si="117"/>
        <v>0</v>
      </c>
      <c r="AW378" s="609">
        <f t="shared" si="118"/>
        <v>0</v>
      </c>
      <c r="AX378" s="603">
        <f t="shared" si="119"/>
        <v>0</v>
      </c>
      <c r="AY378" s="610">
        <f t="shared" si="120"/>
        <v>0</v>
      </c>
      <c r="AZ378" s="611">
        <f t="shared" si="121"/>
        <v>2180.2333333333331</v>
      </c>
      <c r="BA378" s="603">
        <f t="shared" si="122"/>
        <v>2111.3666666666668</v>
      </c>
    </row>
    <row r="379" spans="1:53">
      <c r="A379" s="546" t="s">
        <v>164</v>
      </c>
      <c r="B379" s="547" t="s">
        <v>909</v>
      </c>
      <c r="C379" s="554"/>
      <c r="D379" s="548">
        <v>206996</v>
      </c>
      <c r="E379" s="552">
        <v>10</v>
      </c>
      <c r="F379" s="534" t="s">
        <v>52</v>
      </c>
      <c r="G379" s="535" t="s">
        <v>52</v>
      </c>
      <c r="H379" s="536"/>
      <c r="I379" s="537"/>
      <c r="J379" s="536">
        <v>23601</v>
      </c>
      <c r="K379" s="537">
        <v>25793</v>
      </c>
      <c r="L379" s="536">
        <v>5171</v>
      </c>
      <c r="M379" s="537">
        <v>5076</v>
      </c>
      <c r="N379" s="536">
        <v>28752</v>
      </c>
      <c r="O379" s="538">
        <v>26261</v>
      </c>
      <c r="P379" s="601">
        <f t="shared" si="105"/>
        <v>57524</v>
      </c>
      <c r="Q379" s="602">
        <f t="shared" si="106"/>
        <v>1917.4666666666667</v>
      </c>
      <c r="R379" s="603">
        <f t="shared" si="107"/>
        <v>57130</v>
      </c>
      <c r="S379" s="604">
        <f t="shared" si="108"/>
        <v>1904.3333333333333</v>
      </c>
      <c r="T379" s="536">
        <v>802</v>
      </c>
      <c r="U379" s="530">
        <v>1770</v>
      </c>
      <c r="V379" s="601">
        <f t="shared" si="109"/>
        <v>57524</v>
      </c>
      <c r="W379" s="605">
        <f t="shared" si="110"/>
        <v>57130</v>
      </c>
      <c r="X379" s="539"/>
      <c r="Y379" s="537"/>
      <c r="Z379" s="536"/>
      <c r="AA379" s="537"/>
      <c r="AB379" s="536"/>
      <c r="AC379" s="537"/>
      <c r="AD379" s="536"/>
      <c r="AE379" s="537"/>
      <c r="AF379" s="601">
        <f t="shared" si="111"/>
        <v>0</v>
      </c>
      <c r="AG379" s="602">
        <f t="shared" si="112"/>
        <v>0</v>
      </c>
      <c r="AH379" s="603">
        <f t="shared" si="113"/>
        <v>0</v>
      </c>
      <c r="AI379" s="603">
        <f t="shared" si="114"/>
        <v>0</v>
      </c>
      <c r="AJ379" s="536"/>
      <c r="AK379" s="537"/>
      <c r="AL379" s="601">
        <f t="shared" si="115"/>
        <v>0</v>
      </c>
      <c r="AM379" s="604">
        <f t="shared" si="116"/>
        <v>0</v>
      </c>
      <c r="AN379" s="540"/>
      <c r="AO379" s="541"/>
      <c r="AP379" s="536"/>
      <c r="AQ379" s="542"/>
      <c r="AR379" s="536"/>
      <c r="AS379" s="542"/>
      <c r="AT379" s="536"/>
      <c r="AU379" s="542"/>
      <c r="AV379" s="601">
        <f t="shared" si="117"/>
        <v>0</v>
      </c>
      <c r="AW379" s="609">
        <f t="shared" si="118"/>
        <v>0</v>
      </c>
      <c r="AX379" s="603">
        <f t="shared" si="119"/>
        <v>0</v>
      </c>
      <c r="AY379" s="610">
        <f t="shared" si="120"/>
        <v>0</v>
      </c>
      <c r="AZ379" s="611">
        <f t="shared" si="121"/>
        <v>1917.4666666666667</v>
      </c>
      <c r="BA379" s="603">
        <f t="shared" si="122"/>
        <v>1904.3333333333333</v>
      </c>
    </row>
    <row r="380" spans="1:53">
      <c r="A380" s="546" t="s">
        <v>164</v>
      </c>
      <c r="B380" s="547" t="s">
        <v>910</v>
      </c>
      <c r="C380" s="554"/>
      <c r="D380" s="548">
        <v>207050</v>
      </c>
      <c r="E380" s="552">
        <v>10</v>
      </c>
      <c r="F380" s="534" t="s">
        <v>52</v>
      </c>
      <c r="G380" s="535" t="s">
        <v>52</v>
      </c>
      <c r="H380" s="536"/>
      <c r="I380" s="537"/>
      <c r="J380" s="536">
        <v>20234</v>
      </c>
      <c r="K380" s="537">
        <v>20733</v>
      </c>
      <c r="L380" s="536">
        <v>3751</v>
      </c>
      <c r="M380" s="537">
        <v>4060</v>
      </c>
      <c r="N380" s="536">
        <v>22282</v>
      </c>
      <c r="O380" s="538">
        <v>20564</v>
      </c>
      <c r="P380" s="601">
        <f t="shared" si="105"/>
        <v>46267</v>
      </c>
      <c r="Q380" s="602">
        <f t="shared" si="106"/>
        <v>1542.2333333333333</v>
      </c>
      <c r="R380" s="603">
        <f t="shared" si="107"/>
        <v>45357</v>
      </c>
      <c r="S380" s="604">
        <f t="shared" si="108"/>
        <v>1511.9</v>
      </c>
      <c r="T380" s="536">
        <v>1188</v>
      </c>
      <c r="U380" s="530">
        <v>2828</v>
      </c>
      <c r="V380" s="601">
        <f t="shared" si="109"/>
        <v>46267</v>
      </c>
      <c r="W380" s="605">
        <f t="shared" si="110"/>
        <v>45357</v>
      </c>
      <c r="X380" s="539"/>
      <c r="Y380" s="537"/>
      <c r="Z380" s="536"/>
      <c r="AA380" s="537"/>
      <c r="AB380" s="536"/>
      <c r="AC380" s="537"/>
      <c r="AD380" s="536"/>
      <c r="AE380" s="537"/>
      <c r="AF380" s="601">
        <f t="shared" si="111"/>
        <v>0</v>
      </c>
      <c r="AG380" s="602">
        <f t="shared" si="112"/>
        <v>0</v>
      </c>
      <c r="AH380" s="603">
        <f t="shared" si="113"/>
        <v>0</v>
      </c>
      <c r="AI380" s="603">
        <f t="shared" si="114"/>
        <v>0</v>
      </c>
      <c r="AJ380" s="536"/>
      <c r="AK380" s="537"/>
      <c r="AL380" s="601">
        <f t="shared" si="115"/>
        <v>0</v>
      </c>
      <c r="AM380" s="604">
        <f t="shared" si="116"/>
        <v>0</v>
      </c>
      <c r="AN380" s="540"/>
      <c r="AO380" s="541"/>
      <c r="AP380" s="536"/>
      <c r="AQ380" s="542"/>
      <c r="AR380" s="536"/>
      <c r="AS380" s="542"/>
      <c r="AT380" s="536"/>
      <c r="AU380" s="542"/>
      <c r="AV380" s="601">
        <f t="shared" si="117"/>
        <v>0</v>
      </c>
      <c r="AW380" s="609">
        <f t="shared" si="118"/>
        <v>0</v>
      </c>
      <c r="AX380" s="603">
        <f t="shared" si="119"/>
        <v>0</v>
      </c>
      <c r="AY380" s="610">
        <f t="shared" si="120"/>
        <v>0</v>
      </c>
      <c r="AZ380" s="611">
        <f t="shared" si="121"/>
        <v>1542.2333333333333</v>
      </c>
      <c r="BA380" s="603">
        <f t="shared" si="122"/>
        <v>1511.9</v>
      </c>
    </row>
    <row r="381" spans="1:53">
      <c r="A381" s="546" t="s">
        <v>164</v>
      </c>
      <c r="B381" s="532" t="s">
        <v>911</v>
      </c>
      <c r="C381" s="554"/>
      <c r="D381" s="548">
        <v>207236</v>
      </c>
      <c r="E381" s="552">
        <v>10</v>
      </c>
      <c r="F381" s="534" t="s">
        <v>52</v>
      </c>
      <c r="G381" s="535" t="s">
        <v>52</v>
      </c>
      <c r="H381" s="536"/>
      <c r="I381" s="537"/>
      <c r="J381" s="536">
        <v>26861</v>
      </c>
      <c r="K381" s="537">
        <v>27511</v>
      </c>
      <c r="L381" s="536">
        <v>5346</v>
      </c>
      <c r="M381" s="537">
        <v>5120</v>
      </c>
      <c r="N381" s="536">
        <v>28553</v>
      </c>
      <c r="O381" s="538">
        <v>26573</v>
      </c>
      <c r="P381" s="601">
        <f t="shared" si="105"/>
        <v>60760</v>
      </c>
      <c r="Q381" s="602">
        <f t="shared" si="106"/>
        <v>2025.3333333333333</v>
      </c>
      <c r="R381" s="603">
        <f t="shared" si="107"/>
        <v>59204</v>
      </c>
      <c r="S381" s="604">
        <f t="shared" si="108"/>
        <v>1973.4666666666667</v>
      </c>
      <c r="T381" s="536">
        <v>2048</v>
      </c>
      <c r="U381" s="530">
        <v>4433</v>
      </c>
      <c r="V381" s="601">
        <f t="shared" si="109"/>
        <v>60760</v>
      </c>
      <c r="W381" s="605">
        <f t="shared" si="110"/>
        <v>59204</v>
      </c>
      <c r="X381" s="539"/>
      <c r="Y381" s="537"/>
      <c r="Z381" s="536"/>
      <c r="AA381" s="537"/>
      <c r="AB381" s="536"/>
      <c r="AC381" s="537"/>
      <c r="AD381" s="536"/>
      <c r="AE381" s="537"/>
      <c r="AF381" s="601">
        <f t="shared" si="111"/>
        <v>0</v>
      </c>
      <c r="AG381" s="602">
        <f t="shared" si="112"/>
        <v>0</v>
      </c>
      <c r="AH381" s="603">
        <f t="shared" si="113"/>
        <v>0</v>
      </c>
      <c r="AI381" s="603">
        <f t="shared" si="114"/>
        <v>0</v>
      </c>
      <c r="AJ381" s="536"/>
      <c r="AK381" s="537"/>
      <c r="AL381" s="601">
        <f t="shared" si="115"/>
        <v>0</v>
      </c>
      <c r="AM381" s="604">
        <f t="shared" si="116"/>
        <v>0</v>
      </c>
      <c r="AN381" s="540"/>
      <c r="AO381" s="541"/>
      <c r="AP381" s="536"/>
      <c r="AQ381" s="542"/>
      <c r="AR381" s="536"/>
      <c r="AS381" s="542"/>
      <c r="AT381" s="536"/>
      <c r="AU381" s="542"/>
      <c r="AV381" s="601">
        <f t="shared" si="117"/>
        <v>0</v>
      </c>
      <c r="AW381" s="609">
        <f t="shared" si="118"/>
        <v>0</v>
      </c>
      <c r="AX381" s="603">
        <f t="shared" si="119"/>
        <v>0</v>
      </c>
      <c r="AY381" s="610">
        <f t="shared" si="120"/>
        <v>0</v>
      </c>
      <c r="AZ381" s="611">
        <f t="shared" si="121"/>
        <v>2025.3333333333333</v>
      </c>
      <c r="BA381" s="603">
        <f t="shared" si="122"/>
        <v>1973.4666666666667</v>
      </c>
    </row>
    <row r="382" spans="1:53">
      <c r="A382" s="546" t="s">
        <v>164</v>
      </c>
      <c r="B382" s="547" t="s">
        <v>912</v>
      </c>
      <c r="C382" s="554" t="s">
        <v>918</v>
      </c>
      <c r="D382" s="548">
        <v>207290</v>
      </c>
      <c r="E382" s="552">
        <v>10</v>
      </c>
      <c r="F382" s="534" t="s">
        <v>52</v>
      </c>
      <c r="G382" s="535" t="s">
        <v>52</v>
      </c>
      <c r="H382" s="536"/>
      <c r="I382" s="537"/>
      <c r="J382" s="536">
        <v>24627</v>
      </c>
      <c r="K382" s="537">
        <v>26454</v>
      </c>
      <c r="L382" s="536">
        <v>4658</v>
      </c>
      <c r="M382" s="537">
        <v>5227</v>
      </c>
      <c r="N382" s="536">
        <v>29585</v>
      </c>
      <c r="O382" s="538">
        <v>31953</v>
      </c>
      <c r="P382" s="601">
        <f t="shared" si="105"/>
        <v>58870</v>
      </c>
      <c r="Q382" s="602">
        <f t="shared" si="106"/>
        <v>1962.3333333333333</v>
      </c>
      <c r="R382" s="603">
        <f t="shared" si="107"/>
        <v>63634</v>
      </c>
      <c r="S382" s="604">
        <f t="shared" si="108"/>
        <v>2121.1333333333332</v>
      </c>
      <c r="T382" s="536">
        <v>797</v>
      </c>
      <c r="U382" s="530">
        <v>2297</v>
      </c>
      <c r="V382" s="601">
        <f t="shared" si="109"/>
        <v>58870</v>
      </c>
      <c r="W382" s="605">
        <f t="shared" si="110"/>
        <v>63634</v>
      </c>
      <c r="X382" s="539"/>
      <c r="Y382" s="537"/>
      <c r="Z382" s="536"/>
      <c r="AA382" s="537"/>
      <c r="AB382" s="536"/>
      <c r="AC382" s="537"/>
      <c r="AD382" s="536"/>
      <c r="AE382" s="537"/>
      <c r="AF382" s="601">
        <f t="shared" si="111"/>
        <v>0</v>
      </c>
      <c r="AG382" s="602">
        <f t="shared" si="112"/>
        <v>0</v>
      </c>
      <c r="AH382" s="603">
        <f t="shared" si="113"/>
        <v>0</v>
      </c>
      <c r="AI382" s="603">
        <f t="shared" si="114"/>
        <v>0</v>
      </c>
      <c r="AJ382" s="536"/>
      <c r="AK382" s="537"/>
      <c r="AL382" s="601">
        <f t="shared" si="115"/>
        <v>0</v>
      </c>
      <c r="AM382" s="604">
        <f t="shared" si="116"/>
        <v>0</v>
      </c>
      <c r="AN382" s="540"/>
      <c r="AO382" s="541"/>
      <c r="AP382" s="536"/>
      <c r="AQ382" s="542"/>
      <c r="AR382" s="536"/>
      <c r="AS382" s="542"/>
      <c r="AT382" s="536"/>
      <c r="AU382" s="542"/>
      <c r="AV382" s="601">
        <f t="shared" si="117"/>
        <v>0</v>
      </c>
      <c r="AW382" s="609">
        <f t="shared" si="118"/>
        <v>0</v>
      </c>
      <c r="AX382" s="603">
        <f t="shared" si="119"/>
        <v>0</v>
      </c>
      <c r="AY382" s="610">
        <f t="shared" si="120"/>
        <v>0</v>
      </c>
      <c r="AZ382" s="611">
        <f t="shared" si="121"/>
        <v>1962.3333333333333</v>
      </c>
      <c r="BA382" s="603">
        <f t="shared" si="122"/>
        <v>2121.1333333333332</v>
      </c>
    </row>
    <row r="383" spans="1:53">
      <c r="A383" s="546" t="s">
        <v>164</v>
      </c>
      <c r="B383" s="547" t="s">
        <v>913</v>
      </c>
      <c r="C383" s="554"/>
      <c r="D383" s="548">
        <v>207069</v>
      </c>
      <c r="E383" s="552">
        <v>10</v>
      </c>
      <c r="F383" s="534" t="s">
        <v>52</v>
      </c>
      <c r="G383" s="535" t="s">
        <v>52</v>
      </c>
      <c r="H383" s="536"/>
      <c r="I383" s="537"/>
      <c r="J383" s="536">
        <v>21976</v>
      </c>
      <c r="K383" s="537">
        <v>22228</v>
      </c>
      <c r="L383" s="536">
        <v>4499</v>
      </c>
      <c r="M383" s="537">
        <v>4325</v>
      </c>
      <c r="N383" s="536">
        <v>23118</v>
      </c>
      <c r="O383" s="538">
        <v>22478</v>
      </c>
      <c r="P383" s="601">
        <f t="shared" si="105"/>
        <v>49593</v>
      </c>
      <c r="Q383" s="602">
        <f t="shared" si="106"/>
        <v>1653.1</v>
      </c>
      <c r="R383" s="603">
        <f t="shared" si="107"/>
        <v>49031</v>
      </c>
      <c r="S383" s="604">
        <f t="shared" si="108"/>
        <v>1634.3666666666666</v>
      </c>
      <c r="T383" s="536">
        <v>3081</v>
      </c>
      <c r="U383" s="530">
        <v>7023</v>
      </c>
      <c r="V383" s="601">
        <f t="shared" si="109"/>
        <v>49593</v>
      </c>
      <c r="W383" s="605">
        <f t="shared" si="110"/>
        <v>49031</v>
      </c>
      <c r="X383" s="539"/>
      <c r="Y383" s="537"/>
      <c r="Z383" s="536"/>
      <c r="AA383" s="537"/>
      <c r="AB383" s="536"/>
      <c r="AC383" s="537"/>
      <c r="AD383" s="536"/>
      <c r="AE383" s="537"/>
      <c r="AF383" s="601">
        <f t="shared" si="111"/>
        <v>0</v>
      </c>
      <c r="AG383" s="602">
        <f t="shared" si="112"/>
        <v>0</v>
      </c>
      <c r="AH383" s="603">
        <f t="shared" si="113"/>
        <v>0</v>
      </c>
      <c r="AI383" s="603">
        <f t="shared" si="114"/>
        <v>0</v>
      </c>
      <c r="AJ383" s="536"/>
      <c r="AK383" s="537"/>
      <c r="AL383" s="601">
        <f t="shared" si="115"/>
        <v>0</v>
      </c>
      <c r="AM383" s="604">
        <f t="shared" si="116"/>
        <v>0</v>
      </c>
      <c r="AN383" s="540"/>
      <c r="AO383" s="541"/>
      <c r="AP383" s="536"/>
      <c r="AQ383" s="542"/>
      <c r="AR383" s="536"/>
      <c r="AS383" s="542"/>
      <c r="AT383" s="536"/>
      <c r="AU383" s="542"/>
      <c r="AV383" s="601">
        <f t="shared" si="117"/>
        <v>0</v>
      </c>
      <c r="AW383" s="609">
        <f t="shared" si="118"/>
        <v>0</v>
      </c>
      <c r="AX383" s="603">
        <f t="shared" si="119"/>
        <v>0</v>
      </c>
      <c r="AY383" s="610">
        <f t="shared" si="120"/>
        <v>0</v>
      </c>
      <c r="AZ383" s="611">
        <f t="shared" si="121"/>
        <v>1653.1</v>
      </c>
      <c r="BA383" s="603">
        <f t="shared" si="122"/>
        <v>1634.3666666666666</v>
      </c>
    </row>
    <row r="384" spans="1:53">
      <c r="A384" s="546" t="s">
        <v>164</v>
      </c>
      <c r="B384" s="547" t="s">
        <v>914</v>
      </c>
      <c r="C384" s="554"/>
      <c r="D384" s="548">
        <v>207740</v>
      </c>
      <c r="E384" s="552">
        <v>10</v>
      </c>
      <c r="F384" s="534" t="s">
        <v>52</v>
      </c>
      <c r="G384" s="535" t="s">
        <v>52</v>
      </c>
      <c r="H384" s="536"/>
      <c r="I384" s="537"/>
      <c r="J384" s="536">
        <v>22123</v>
      </c>
      <c r="K384" s="537">
        <v>22183</v>
      </c>
      <c r="L384" s="536">
        <v>3899</v>
      </c>
      <c r="M384" s="537">
        <v>3947</v>
      </c>
      <c r="N384" s="536">
        <v>22710</v>
      </c>
      <c r="O384" s="538">
        <v>23763</v>
      </c>
      <c r="P384" s="601">
        <f t="shared" si="105"/>
        <v>48732</v>
      </c>
      <c r="Q384" s="602">
        <f t="shared" si="106"/>
        <v>1624.4</v>
      </c>
      <c r="R384" s="603">
        <f t="shared" si="107"/>
        <v>49893</v>
      </c>
      <c r="S384" s="604">
        <f t="shared" si="108"/>
        <v>1663.1</v>
      </c>
      <c r="T384" s="536">
        <v>1115</v>
      </c>
      <c r="U384" s="530">
        <v>2934</v>
      </c>
      <c r="V384" s="601">
        <f t="shared" si="109"/>
        <v>48732</v>
      </c>
      <c r="W384" s="605">
        <f t="shared" si="110"/>
        <v>49893</v>
      </c>
      <c r="X384" s="539"/>
      <c r="Y384" s="537"/>
      <c r="Z384" s="536"/>
      <c r="AA384" s="537"/>
      <c r="AB384" s="536"/>
      <c r="AC384" s="537"/>
      <c r="AD384" s="536"/>
      <c r="AE384" s="537"/>
      <c r="AF384" s="601">
        <f t="shared" si="111"/>
        <v>0</v>
      </c>
      <c r="AG384" s="602">
        <f t="shared" si="112"/>
        <v>0</v>
      </c>
      <c r="AH384" s="603">
        <f t="shared" si="113"/>
        <v>0</v>
      </c>
      <c r="AI384" s="603">
        <f t="shared" si="114"/>
        <v>0</v>
      </c>
      <c r="AJ384" s="536"/>
      <c r="AK384" s="537"/>
      <c r="AL384" s="601">
        <f t="shared" si="115"/>
        <v>0</v>
      </c>
      <c r="AM384" s="604">
        <f t="shared" si="116"/>
        <v>0</v>
      </c>
      <c r="AN384" s="540"/>
      <c r="AO384" s="541"/>
      <c r="AP384" s="536"/>
      <c r="AQ384" s="542"/>
      <c r="AR384" s="536"/>
      <c r="AS384" s="542"/>
      <c r="AT384" s="536"/>
      <c r="AU384" s="542"/>
      <c r="AV384" s="601">
        <f t="shared" si="117"/>
        <v>0</v>
      </c>
      <c r="AW384" s="609">
        <f t="shared" si="118"/>
        <v>0</v>
      </c>
      <c r="AX384" s="603">
        <f t="shared" si="119"/>
        <v>0</v>
      </c>
      <c r="AY384" s="610">
        <f t="shared" si="120"/>
        <v>0</v>
      </c>
      <c r="AZ384" s="611">
        <f t="shared" si="121"/>
        <v>1624.4</v>
      </c>
      <c r="BA384" s="603">
        <f t="shared" si="122"/>
        <v>1663.1</v>
      </c>
    </row>
    <row r="385" spans="1:53">
      <c r="A385" s="546" t="s">
        <v>164</v>
      </c>
      <c r="B385" s="547" t="s">
        <v>915</v>
      </c>
      <c r="C385" s="554" t="s">
        <v>919</v>
      </c>
      <c r="D385" s="548">
        <v>208035</v>
      </c>
      <c r="E385" s="552">
        <v>10</v>
      </c>
      <c r="F385" s="534" t="s">
        <v>52</v>
      </c>
      <c r="G385" s="535" t="s">
        <v>52</v>
      </c>
      <c r="H385" s="536"/>
      <c r="I385" s="537"/>
      <c r="J385" s="536">
        <v>19627</v>
      </c>
      <c r="K385" s="537">
        <v>21802</v>
      </c>
      <c r="L385" s="536">
        <v>8711</v>
      </c>
      <c r="M385" s="537">
        <v>10560</v>
      </c>
      <c r="N385" s="536">
        <v>30249</v>
      </c>
      <c r="O385" s="538">
        <v>30686</v>
      </c>
      <c r="P385" s="601">
        <f t="shared" si="105"/>
        <v>58587</v>
      </c>
      <c r="Q385" s="602">
        <f t="shared" si="106"/>
        <v>1952.9</v>
      </c>
      <c r="R385" s="603">
        <f t="shared" si="107"/>
        <v>63048</v>
      </c>
      <c r="S385" s="604">
        <f t="shared" si="108"/>
        <v>2101.6</v>
      </c>
      <c r="T385" s="536">
        <v>1691</v>
      </c>
      <c r="U385" s="530">
        <v>4374</v>
      </c>
      <c r="V385" s="601">
        <f t="shared" si="109"/>
        <v>58587</v>
      </c>
      <c r="W385" s="605">
        <f t="shared" si="110"/>
        <v>63048</v>
      </c>
      <c r="X385" s="539"/>
      <c r="Y385" s="537"/>
      <c r="Z385" s="536"/>
      <c r="AA385" s="537"/>
      <c r="AB385" s="536"/>
      <c r="AC385" s="537"/>
      <c r="AD385" s="536"/>
      <c r="AE385" s="537"/>
      <c r="AF385" s="601">
        <f t="shared" si="111"/>
        <v>0</v>
      </c>
      <c r="AG385" s="602">
        <f t="shared" si="112"/>
        <v>0</v>
      </c>
      <c r="AH385" s="603">
        <f t="shared" si="113"/>
        <v>0</v>
      </c>
      <c r="AI385" s="603">
        <f t="shared" si="114"/>
        <v>0</v>
      </c>
      <c r="AJ385" s="536"/>
      <c r="AK385" s="537"/>
      <c r="AL385" s="601">
        <f t="shared" si="115"/>
        <v>0</v>
      </c>
      <c r="AM385" s="604">
        <f t="shared" si="116"/>
        <v>0</v>
      </c>
      <c r="AN385" s="540"/>
      <c r="AO385" s="541"/>
      <c r="AP385" s="536"/>
      <c r="AQ385" s="542"/>
      <c r="AR385" s="536"/>
      <c r="AS385" s="542"/>
      <c r="AT385" s="536"/>
      <c r="AU385" s="542"/>
      <c r="AV385" s="601">
        <f t="shared" si="117"/>
        <v>0</v>
      </c>
      <c r="AW385" s="609">
        <f t="shared" si="118"/>
        <v>0</v>
      </c>
      <c r="AX385" s="603">
        <f t="shared" si="119"/>
        <v>0</v>
      </c>
      <c r="AY385" s="610">
        <f t="shared" si="120"/>
        <v>0</v>
      </c>
      <c r="AZ385" s="611">
        <f t="shared" si="121"/>
        <v>1952.9</v>
      </c>
      <c r="BA385" s="603">
        <f t="shared" si="122"/>
        <v>2101.6</v>
      </c>
    </row>
    <row r="386" spans="1:53">
      <c r="A386" s="435" t="s">
        <v>164</v>
      </c>
      <c r="B386" s="436" t="s">
        <v>487</v>
      </c>
      <c r="C386" s="437"/>
      <c r="D386" s="312">
        <v>365374</v>
      </c>
      <c r="E386" s="312">
        <v>12</v>
      </c>
      <c r="F386" s="296"/>
      <c r="G386" s="297"/>
      <c r="H386" s="298"/>
      <c r="I386" s="299"/>
      <c r="J386" s="298"/>
      <c r="K386" s="299"/>
      <c r="L386" s="298"/>
      <c r="M386" s="299"/>
      <c r="N386" s="298"/>
      <c r="O386" s="299"/>
      <c r="P386" s="601">
        <f t="shared" si="105"/>
        <v>0</v>
      </c>
      <c r="Q386" s="602">
        <f t="shared" si="106"/>
        <v>0</v>
      </c>
      <c r="R386" s="603">
        <f t="shared" si="107"/>
        <v>0</v>
      </c>
      <c r="S386" s="604">
        <f t="shared" si="108"/>
        <v>0</v>
      </c>
      <c r="T386" s="298"/>
      <c r="U386" s="299"/>
      <c r="V386" s="601">
        <f t="shared" si="109"/>
        <v>0</v>
      </c>
      <c r="W386" s="605">
        <f t="shared" si="110"/>
        <v>0</v>
      </c>
      <c r="X386" s="305"/>
      <c r="Y386" s="299"/>
      <c r="Z386" s="298"/>
      <c r="AA386" s="299"/>
      <c r="AB386" s="298"/>
      <c r="AC386" s="299"/>
      <c r="AD386" s="298">
        <v>1151539.8999999999</v>
      </c>
      <c r="AE386" s="299">
        <v>1157859.46</v>
      </c>
      <c r="AF386" s="601">
        <f t="shared" si="111"/>
        <v>1151539.8999999999</v>
      </c>
      <c r="AG386" s="602">
        <f t="shared" si="112"/>
        <v>1279.4887777777776</v>
      </c>
      <c r="AH386" s="603">
        <f t="shared" si="113"/>
        <v>1157859.46</v>
      </c>
      <c r="AI386" s="603">
        <f t="shared" si="114"/>
        <v>1286.5105111111111</v>
      </c>
      <c r="AJ386" s="298"/>
      <c r="AK386" s="299"/>
      <c r="AL386" s="601">
        <f t="shared" si="115"/>
        <v>0</v>
      </c>
      <c r="AM386" s="604">
        <f t="shared" si="116"/>
        <v>0</v>
      </c>
      <c r="AN386" s="306"/>
      <c r="AO386" s="307"/>
      <c r="AP386" s="298"/>
      <c r="AQ386" s="307"/>
      <c r="AR386" s="298"/>
      <c r="AS386" s="307"/>
      <c r="AT386" s="298"/>
      <c r="AU386" s="307"/>
      <c r="AV386" s="601">
        <f t="shared" si="117"/>
        <v>0</v>
      </c>
      <c r="AW386" s="609">
        <f t="shared" si="118"/>
        <v>0</v>
      </c>
      <c r="AX386" s="603">
        <f t="shared" si="119"/>
        <v>0</v>
      </c>
      <c r="AY386" s="610">
        <f t="shared" si="120"/>
        <v>0</v>
      </c>
      <c r="AZ386" s="611">
        <f t="shared" si="121"/>
        <v>1279.4887777777776</v>
      </c>
      <c r="BA386" s="603">
        <f t="shared" si="122"/>
        <v>1286.5105111111111</v>
      </c>
    </row>
    <row r="387" spans="1:53">
      <c r="A387" s="435" t="s">
        <v>164</v>
      </c>
      <c r="B387" s="311" t="s">
        <v>488</v>
      </c>
      <c r="C387" s="438"/>
      <c r="D387" s="312">
        <v>245999</v>
      </c>
      <c r="E387" s="312">
        <v>12</v>
      </c>
      <c r="F387" s="296"/>
      <c r="G387" s="297"/>
      <c r="H387" s="298"/>
      <c r="I387" s="299"/>
      <c r="J387" s="298"/>
      <c r="K387" s="299"/>
      <c r="L387" s="298"/>
      <c r="M387" s="299"/>
      <c r="N387" s="298"/>
      <c r="O387" s="299"/>
      <c r="P387" s="601">
        <f t="shared" si="105"/>
        <v>0</v>
      </c>
      <c r="Q387" s="602">
        <f t="shared" si="106"/>
        <v>0</v>
      </c>
      <c r="R387" s="603">
        <f t="shared" si="107"/>
        <v>0</v>
      </c>
      <c r="S387" s="604">
        <f t="shared" si="108"/>
        <v>0</v>
      </c>
      <c r="T387" s="298"/>
      <c r="U387" s="299"/>
      <c r="V387" s="601">
        <f t="shared" si="109"/>
        <v>0</v>
      </c>
      <c r="W387" s="605">
        <f t="shared" si="110"/>
        <v>0</v>
      </c>
      <c r="X387" s="305"/>
      <c r="Y387" s="299"/>
      <c r="Z387" s="298"/>
      <c r="AA387" s="299"/>
      <c r="AB387" s="298"/>
      <c r="AC387" s="299"/>
      <c r="AD387" s="298">
        <v>1899880.13</v>
      </c>
      <c r="AE387" s="299">
        <v>1509993.25</v>
      </c>
      <c r="AF387" s="601">
        <f t="shared" si="111"/>
        <v>1899880.13</v>
      </c>
      <c r="AG387" s="602">
        <f t="shared" si="112"/>
        <v>2110.9779222222219</v>
      </c>
      <c r="AH387" s="603">
        <f t="shared" si="113"/>
        <v>1509993.25</v>
      </c>
      <c r="AI387" s="603">
        <f t="shared" si="114"/>
        <v>1677.7702777777777</v>
      </c>
      <c r="AJ387" s="298"/>
      <c r="AK387" s="299"/>
      <c r="AL387" s="601">
        <f t="shared" si="115"/>
        <v>0</v>
      </c>
      <c r="AM387" s="604">
        <f t="shared" si="116"/>
        <v>0</v>
      </c>
      <c r="AN387" s="306"/>
      <c r="AO387" s="307"/>
      <c r="AP387" s="298"/>
      <c r="AQ387" s="307"/>
      <c r="AR387" s="298"/>
      <c r="AS387" s="307"/>
      <c r="AT387" s="298"/>
      <c r="AU387" s="307"/>
      <c r="AV387" s="601">
        <f t="shared" si="117"/>
        <v>0</v>
      </c>
      <c r="AW387" s="609">
        <f t="shared" si="118"/>
        <v>0</v>
      </c>
      <c r="AX387" s="603">
        <f t="shared" si="119"/>
        <v>0</v>
      </c>
      <c r="AY387" s="610">
        <f t="shared" si="120"/>
        <v>0</v>
      </c>
      <c r="AZ387" s="611">
        <f t="shared" si="121"/>
        <v>2110.9779222222219</v>
      </c>
      <c r="BA387" s="603">
        <f t="shared" si="122"/>
        <v>1677.7702777777777</v>
      </c>
    </row>
    <row r="388" spans="1:53">
      <c r="A388" s="435" t="s">
        <v>164</v>
      </c>
      <c r="B388" s="311" t="s">
        <v>490</v>
      </c>
      <c r="C388" s="438"/>
      <c r="D388" s="312">
        <v>363165</v>
      </c>
      <c r="E388" s="312">
        <v>12</v>
      </c>
      <c r="F388" s="296"/>
      <c r="G388" s="297"/>
      <c r="H388" s="298"/>
      <c r="I388" s="299"/>
      <c r="J388" s="298"/>
      <c r="K388" s="299"/>
      <c r="L388" s="298"/>
      <c r="M388" s="299"/>
      <c r="N388" s="298"/>
      <c r="O388" s="299"/>
      <c r="P388" s="601">
        <f t="shared" si="105"/>
        <v>0</v>
      </c>
      <c r="Q388" s="602">
        <f t="shared" si="106"/>
        <v>0</v>
      </c>
      <c r="R388" s="603">
        <f t="shared" si="107"/>
        <v>0</v>
      </c>
      <c r="S388" s="604">
        <f t="shared" si="108"/>
        <v>0</v>
      </c>
      <c r="T388" s="298"/>
      <c r="U388" s="299"/>
      <c r="V388" s="601">
        <f t="shared" si="109"/>
        <v>0</v>
      </c>
      <c r="W388" s="605">
        <f t="shared" si="110"/>
        <v>0</v>
      </c>
      <c r="X388" s="305"/>
      <c r="Y388" s="299"/>
      <c r="Z388" s="298"/>
      <c r="AA388" s="299"/>
      <c r="AB388" s="298"/>
      <c r="AC388" s="299"/>
      <c r="AD388" s="298">
        <v>1199650.75</v>
      </c>
      <c r="AE388" s="299">
        <v>1206431.8999999999</v>
      </c>
      <c r="AF388" s="601">
        <f t="shared" si="111"/>
        <v>1199650.75</v>
      </c>
      <c r="AG388" s="602">
        <f t="shared" si="112"/>
        <v>1332.9452777777778</v>
      </c>
      <c r="AH388" s="603">
        <f t="shared" si="113"/>
        <v>1206431.8999999999</v>
      </c>
      <c r="AI388" s="603">
        <f t="shared" si="114"/>
        <v>1340.4798888888888</v>
      </c>
      <c r="AJ388" s="298"/>
      <c r="AK388" s="299"/>
      <c r="AL388" s="601">
        <f t="shared" si="115"/>
        <v>0</v>
      </c>
      <c r="AM388" s="604">
        <f t="shared" si="116"/>
        <v>0</v>
      </c>
      <c r="AN388" s="306"/>
      <c r="AO388" s="307"/>
      <c r="AP388" s="298"/>
      <c r="AQ388" s="307"/>
      <c r="AR388" s="298"/>
      <c r="AS388" s="307"/>
      <c r="AT388" s="298"/>
      <c r="AU388" s="307"/>
      <c r="AV388" s="601">
        <f t="shared" si="117"/>
        <v>0</v>
      </c>
      <c r="AW388" s="609">
        <f t="shared" si="118"/>
        <v>0</v>
      </c>
      <c r="AX388" s="603">
        <f t="shared" si="119"/>
        <v>0</v>
      </c>
      <c r="AY388" s="610">
        <f t="shared" si="120"/>
        <v>0</v>
      </c>
      <c r="AZ388" s="611">
        <f t="shared" si="121"/>
        <v>1332.9452777777778</v>
      </c>
      <c r="BA388" s="603">
        <f t="shared" si="122"/>
        <v>1340.4798888888888</v>
      </c>
    </row>
    <row r="389" spans="1:53">
      <c r="A389" s="435" t="s">
        <v>164</v>
      </c>
      <c r="B389" s="311" t="s">
        <v>492</v>
      </c>
      <c r="C389" s="438"/>
      <c r="D389" s="312">
        <v>365213</v>
      </c>
      <c r="E389" s="312">
        <v>13</v>
      </c>
      <c r="F389" s="296"/>
      <c r="G389" s="297"/>
      <c r="H389" s="298"/>
      <c r="I389" s="299"/>
      <c r="J389" s="298"/>
      <c r="K389" s="299"/>
      <c r="L389" s="298"/>
      <c r="M389" s="299"/>
      <c r="N389" s="298"/>
      <c r="O389" s="299"/>
      <c r="P389" s="601">
        <f t="shared" si="105"/>
        <v>0</v>
      </c>
      <c r="Q389" s="602">
        <f t="shared" si="106"/>
        <v>0</v>
      </c>
      <c r="R389" s="603">
        <f t="shared" si="107"/>
        <v>0</v>
      </c>
      <c r="S389" s="604">
        <f t="shared" si="108"/>
        <v>0</v>
      </c>
      <c r="T389" s="298"/>
      <c r="U389" s="299"/>
      <c r="V389" s="601">
        <f t="shared" si="109"/>
        <v>0</v>
      </c>
      <c r="W389" s="605">
        <f t="shared" si="110"/>
        <v>0</v>
      </c>
      <c r="X389" s="305"/>
      <c r="Y389" s="299"/>
      <c r="Z389" s="298"/>
      <c r="AA389" s="299"/>
      <c r="AB389" s="298"/>
      <c r="AC389" s="299"/>
      <c r="AD389" s="298">
        <v>524393.80000000005</v>
      </c>
      <c r="AE389" s="299">
        <v>499956.15</v>
      </c>
      <c r="AF389" s="601">
        <f t="shared" si="111"/>
        <v>524393.80000000005</v>
      </c>
      <c r="AG389" s="602">
        <f t="shared" si="112"/>
        <v>582.65977777777778</v>
      </c>
      <c r="AH389" s="603">
        <f t="shared" si="113"/>
        <v>499956.15</v>
      </c>
      <c r="AI389" s="603">
        <f t="shared" si="114"/>
        <v>555.50683333333336</v>
      </c>
      <c r="AJ389" s="298"/>
      <c r="AK389" s="299"/>
      <c r="AL389" s="601">
        <f t="shared" si="115"/>
        <v>0</v>
      </c>
      <c r="AM389" s="604">
        <f t="shared" si="116"/>
        <v>0</v>
      </c>
      <c r="AN389" s="306"/>
      <c r="AO389" s="307"/>
      <c r="AP389" s="298"/>
      <c r="AQ389" s="307"/>
      <c r="AR389" s="298"/>
      <c r="AS389" s="307"/>
      <c r="AT389" s="298"/>
      <c r="AU389" s="307"/>
      <c r="AV389" s="601">
        <f t="shared" si="117"/>
        <v>0</v>
      </c>
      <c r="AW389" s="609">
        <f t="shared" si="118"/>
        <v>0</v>
      </c>
      <c r="AX389" s="603">
        <f t="shared" si="119"/>
        <v>0</v>
      </c>
      <c r="AY389" s="610">
        <f t="shared" si="120"/>
        <v>0</v>
      </c>
      <c r="AZ389" s="611">
        <f t="shared" si="121"/>
        <v>582.65977777777778</v>
      </c>
      <c r="BA389" s="603">
        <f t="shared" si="122"/>
        <v>555.50683333333336</v>
      </c>
    </row>
    <row r="390" spans="1:53">
      <c r="A390" s="435" t="s">
        <v>164</v>
      </c>
      <c r="B390" s="311" t="s">
        <v>493</v>
      </c>
      <c r="C390" s="438"/>
      <c r="D390" s="312">
        <v>364946</v>
      </c>
      <c r="E390" s="312">
        <v>13</v>
      </c>
      <c r="F390" s="296"/>
      <c r="G390" s="297"/>
      <c r="H390" s="298"/>
      <c r="I390" s="299"/>
      <c r="J390" s="298"/>
      <c r="K390" s="299"/>
      <c r="L390" s="298"/>
      <c r="M390" s="299"/>
      <c r="N390" s="298"/>
      <c r="O390" s="299"/>
      <c r="P390" s="601">
        <f t="shared" si="105"/>
        <v>0</v>
      </c>
      <c r="Q390" s="602">
        <f t="shared" si="106"/>
        <v>0</v>
      </c>
      <c r="R390" s="603">
        <f t="shared" si="107"/>
        <v>0</v>
      </c>
      <c r="S390" s="604">
        <f t="shared" si="108"/>
        <v>0</v>
      </c>
      <c r="T390" s="298"/>
      <c r="U390" s="299"/>
      <c r="V390" s="601">
        <f t="shared" si="109"/>
        <v>0</v>
      </c>
      <c r="W390" s="605">
        <f t="shared" si="110"/>
        <v>0</v>
      </c>
      <c r="X390" s="305"/>
      <c r="Y390" s="299"/>
      <c r="Z390" s="298"/>
      <c r="AA390" s="299"/>
      <c r="AB390" s="298"/>
      <c r="AC390" s="299"/>
      <c r="AD390" s="298">
        <v>441123.34</v>
      </c>
      <c r="AE390" s="299">
        <v>357117</v>
      </c>
      <c r="AF390" s="601">
        <f t="shared" si="111"/>
        <v>441123.34</v>
      </c>
      <c r="AG390" s="602">
        <f t="shared" si="112"/>
        <v>490.13704444444448</v>
      </c>
      <c r="AH390" s="603">
        <f t="shared" si="113"/>
        <v>357117</v>
      </c>
      <c r="AI390" s="603">
        <f t="shared" si="114"/>
        <v>396.79666666666668</v>
      </c>
      <c r="AJ390" s="298"/>
      <c r="AK390" s="299"/>
      <c r="AL390" s="601">
        <f t="shared" si="115"/>
        <v>0</v>
      </c>
      <c r="AM390" s="604">
        <f t="shared" si="116"/>
        <v>0</v>
      </c>
      <c r="AN390" s="306"/>
      <c r="AO390" s="307"/>
      <c r="AP390" s="298"/>
      <c r="AQ390" s="307"/>
      <c r="AR390" s="298"/>
      <c r="AS390" s="307"/>
      <c r="AT390" s="298"/>
      <c r="AU390" s="307"/>
      <c r="AV390" s="601">
        <f t="shared" si="117"/>
        <v>0</v>
      </c>
      <c r="AW390" s="609">
        <f t="shared" si="118"/>
        <v>0</v>
      </c>
      <c r="AX390" s="603">
        <f t="shared" si="119"/>
        <v>0</v>
      </c>
      <c r="AY390" s="610">
        <f t="shared" si="120"/>
        <v>0</v>
      </c>
      <c r="AZ390" s="611">
        <f t="shared" si="121"/>
        <v>490.13704444444448</v>
      </c>
      <c r="BA390" s="603">
        <f t="shared" si="122"/>
        <v>396.79666666666668</v>
      </c>
    </row>
    <row r="391" spans="1:53">
      <c r="A391" s="435" t="s">
        <v>164</v>
      </c>
      <c r="B391" s="311" t="s">
        <v>494</v>
      </c>
      <c r="C391" s="438"/>
      <c r="D391" s="312">
        <v>246017</v>
      </c>
      <c r="E391" s="312">
        <v>13</v>
      </c>
      <c r="F391" s="296"/>
      <c r="G391" s="297"/>
      <c r="H391" s="298"/>
      <c r="I391" s="299"/>
      <c r="J391" s="298"/>
      <c r="K391" s="299"/>
      <c r="L391" s="298"/>
      <c r="M391" s="299"/>
      <c r="N391" s="298"/>
      <c r="O391" s="299"/>
      <c r="P391" s="601">
        <f t="shared" ref="P391:P449" si="123">SUM(H391,J391,L391,N391)</f>
        <v>0</v>
      </c>
      <c r="Q391" s="602">
        <f t="shared" ref="Q391:Q449" si="124">+P391/30</f>
        <v>0</v>
      </c>
      <c r="R391" s="603">
        <f t="shared" ref="R391:R449" si="125">SUM(I391,K391,M391,O391)</f>
        <v>0</v>
      </c>
      <c r="S391" s="604">
        <f t="shared" ref="S391:S449" si="126">+R391/30</f>
        <v>0</v>
      </c>
      <c r="T391" s="298"/>
      <c r="U391" s="299"/>
      <c r="V391" s="601">
        <f t="shared" ref="V391:V449" si="127">IF(ISBLANK(T391),0,P391)</f>
        <v>0</v>
      </c>
      <c r="W391" s="605">
        <f t="shared" ref="W391:W449" si="128">IF(ISBLANK(U391),0,R391)</f>
        <v>0</v>
      </c>
      <c r="X391" s="305"/>
      <c r="Y391" s="299"/>
      <c r="Z391" s="298"/>
      <c r="AA391" s="299"/>
      <c r="AB391" s="298"/>
      <c r="AC391" s="299"/>
      <c r="AD391" s="298">
        <v>787308.8</v>
      </c>
      <c r="AE391" s="299">
        <v>778883.75</v>
      </c>
      <c r="AF391" s="601">
        <f t="shared" ref="AF391:AF449" si="129">SUM(X391,Z391,AB391,AD391)</f>
        <v>787308.8</v>
      </c>
      <c r="AG391" s="602">
        <f t="shared" ref="AG391:AG449" si="130">+AF391/900</f>
        <v>874.78755555555563</v>
      </c>
      <c r="AH391" s="603">
        <f t="shared" ref="AH391:AH449" si="131">SUM(Y391,AA391,AC391,AE391)</f>
        <v>778883.75</v>
      </c>
      <c r="AI391" s="603">
        <f t="shared" ref="AI391:AI449" si="132">+AH391/900</f>
        <v>865.42638888888894</v>
      </c>
      <c r="AJ391" s="298"/>
      <c r="AK391" s="299"/>
      <c r="AL391" s="601">
        <f t="shared" ref="AL391:AL449" si="133">IF(ISBLANK(AJ391),0,AF391)</f>
        <v>0</v>
      </c>
      <c r="AM391" s="604">
        <f t="shared" ref="AM391:AM449" si="134">IF(ISBLANK(AK391),0,AH391)</f>
        <v>0</v>
      </c>
      <c r="AN391" s="306"/>
      <c r="AO391" s="307"/>
      <c r="AP391" s="298"/>
      <c r="AQ391" s="307"/>
      <c r="AR391" s="298"/>
      <c r="AS391" s="307"/>
      <c r="AT391" s="298"/>
      <c r="AU391" s="307"/>
      <c r="AV391" s="601">
        <f t="shared" ref="AV391:AV449" si="135">SUM(AN391,AP391,AR391,AT391)</f>
        <v>0</v>
      </c>
      <c r="AW391" s="609">
        <f t="shared" ref="AW391:AW449" si="136">+AV391/24</f>
        <v>0</v>
      </c>
      <c r="AX391" s="603">
        <f t="shared" ref="AX391:AX449" si="137">SUM(AO391,AQ391,AS391,AU391)</f>
        <v>0</v>
      </c>
      <c r="AY391" s="610">
        <f t="shared" ref="AY391:AY449" si="138">+AX391/24</f>
        <v>0</v>
      </c>
      <c r="AZ391" s="611">
        <f t="shared" ref="AZ391:AZ449" si="139">SUM(Q391,AG391,AW391)</f>
        <v>874.78755555555563</v>
      </c>
      <c r="BA391" s="603">
        <f t="shared" ref="BA391:BA449" si="140">SUM(S391,AI391,AY391)</f>
        <v>865.42638888888894</v>
      </c>
    </row>
    <row r="392" spans="1:53">
      <c r="A392" s="435" t="s">
        <v>164</v>
      </c>
      <c r="B392" s="311" t="s">
        <v>495</v>
      </c>
      <c r="C392" s="438"/>
      <c r="D392" s="312">
        <v>375656</v>
      </c>
      <c r="E392" s="312">
        <v>13</v>
      </c>
      <c r="F392" s="296"/>
      <c r="G392" s="297"/>
      <c r="H392" s="298"/>
      <c r="I392" s="299"/>
      <c r="J392" s="298"/>
      <c r="K392" s="299"/>
      <c r="L392" s="298"/>
      <c r="M392" s="299"/>
      <c r="N392" s="298"/>
      <c r="O392" s="299"/>
      <c r="P392" s="601">
        <f t="shared" si="123"/>
        <v>0</v>
      </c>
      <c r="Q392" s="602">
        <f t="shared" si="124"/>
        <v>0</v>
      </c>
      <c r="R392" s="603">
        <f t="shared" si="125"/>
        <v>0</v>
      </c>
      <c r="S392" s="604">
        <f t="shared" si="126"/>
        <v>0</v>
      </c>
      <c r="T392" s="298"/>
      <c r="U392" s="299"/>
      <c r="V392" s="601">
        <f t="shared" si="127"/>
        <v>0</v>
      </c>
      <c r="W392" s="605">
        <f t="shared" si="128"/>
        <v>0</v>
      </c>
      <c r="X392" s="305"/>
      <c r="Y392" s="299"/>
      <c r="Z392" s="298"/>
      <c r="AA392" s="299"/>
      <c r="AB392" s="298"/>
      <c r="AC392" s="299"/>
      <c r="AD392" s="298">
        <v>122942.25</v>
      </c>
      <c r="AE392" s="299">
        <v>111580</v>
      </c>
      <c r="AF392" s="601">
        <f t="shared" si="129"/>
        <v>122942.25</v>
      </c>
      <c r="AG392" s="602">
        <f t="shared" si="130"/>
        <v>136.60249999999999</v>
      </c>
      <c r="AH392" s="603">
        <f t="shared" si="131"/>
        <v>111580</v>
      </c>
      <c r="AI392" s="603">
        <f t="shared" si="132"/>
        <v>123.97777777777777</v>
      </c>
      <c r="AJ392" s="298"/>
      <c r="AK392" s="299"/>
      <c r="AL392" s="601">
        <f t="shared" si="133"/>
        <v>0</v>
      </c>
      <c r="AM392" s="604">
        <f t="shared" si="134"/>
        <v>0</v>
      </c>
      <c r="AN392" s="306"/>
      <c r="AO392" s="307"/>
      <c r="AP392" s="298"/>
      <c r="AQ392" s="307"/>
      <c r="AR392" s="298"/>
      <c r="AS392" s="307"/>
      <c r="AT392" s="298"/>
      <c r="AU392" s="307"/>
      <c r="AV392" s="601">
        <f t="shared" si="135"/>
        <v>0</v>
      </c>
      <c r="AW392" s="609">
        <f t="shared" si="136"/>
        <v>0</v>
      </c>
      <c r="AX392" s="603">
        <f t="shared" si="137"/>
        <v>0</v>
      </c>
      <c r="AY392" s="610">
        <f t="shared" si="138"/>
        <v>0</v>
      </c>
      <c r="AZ392" s="611">
        <f t="shared" si="139"/>
        <v>136.60249999999999</v>
      </c>
      <c r="BA392" s="603">
        <f t="shared" si="140"/>
        <v>123.97777777777777</v>
      </c>
    </row>
    <row r="393" spans="1:53">
      <c r="A393" s="435" t="s">
        <v>164</v>
      </c>
      <c r="B393" s="311" t="s">
        <v>496</v>
      </c>
      <c r="C393" s="438"/>
      <c r="D393" s="312">
        <v>418348</v>
      </c>
      <c r="E393" s="312">
        <v>13</v>
      </c>
      <c r="F393" s="296"/>
      <c r="G393" s="297"/>
      <c r="H393" s="298"/>
      <c r="I393" s="299"/>
      <c r="J393" s="298"/>
      <c r="K393" s="299"/>
      <c r="L393" s="298"/>
      <c r="M393" s="299"/>
      <c r="N393" s="298"/>
      <c r="O393" s="299"/>
      <c r="P393" s="601">
        <f t="shared" si="123"/>
        <v>0</v>
      </c>
      <c r="Q393" s="602">
        <f t="shared" si="124"/>
        <v>0</v>
      </c>
      <c r="R393" s="603">
        <f t="shared" si="125"/>
        <v>0</v>
      </c>
      <c r="S393" s="604">
        <f t="shared" si="126"/>
        <v>0</v>
      </c>
      <c r="T393" s="298"/>
      <c r="U393" s="299"/>
      <c r="V393" s="601">
        <f t="shared" si="127"/>
        <v>0</v>
      </c>
      <c r="W393" s="605">
        <f t="shared" si="128"/>
        <v>0</v>
      </c>
      <c r="X393" s="305"/>
      <c r="Y393" s="299"/>
      <c r="Z393" s="298"/>
      <c r="AA393" s="299"/>
      <c r="AB393" s="298"/>
      <c r="AC393" s="299"/>
      <c r="AD393" s="298">
        <v>376301.5</v>
      </c>
      <c r="AE393" s="299">
        <v>331567</v>
      </c>
      <c r="AF393" s="601">
        <f t="shared" si="129"/>
        <v>376301.5</v>
      </c>
      <c r="AG393" s="602">
        <f t="shared" si="130"/>
        <v>418.11277777777775</v>
      </c>
      <c r="AH393" s="603">
        <f t="shared" si="131"/>
        <v>331567</v>
      </c>
      <c r="AI393" s="603">
        <f t="shared" si="132"/>
        <v>368.40777777777777</v>
      </c>
      <c r="AJ393" s="298"/>
      <c r="AK393" s="299"/>
      <c r="AL393" s="601">
        <f t="shared" si="133"/>
        <v>0</v>
      </c>
      <c r="AM393" s="604">
        <f t="shared" si="134"/>
        <v>0</v>
      </c>
      <c r="AN393" s="306"/>
      <c r="AO393" s="307"/>
      <c r="AP393" s="298"/>
      <c r="AQ393" s="307"/>
      <c r="AR393" s="298"/>
      <c r="AS393" s="307"/>
      <c r="AT393" s="298"/>
      <c r="AU393" s="307"/>
      <c r="AV393" s="601">
        <f t="shared" si="135"/>
        <v>0</v>
      </c>
      <c r="AW393" s="609">
        <f t="shared" si="136"/>
        <v>0</v>
      </c>
      <c r="AX393" s="603">
        <f t="shared" si="137"/>
        <v>0</v>
      </c>
      <c r="AY393" s="610">
        <f t="shared" si="138"/>
        <v>0</v>
      </c>
      <c r="AZ393" s="611">
        <f t="shared" si="139"/>
        <v>418.11277777777775</v>
      </c>
      <c r="BA393" s="603">
        <f t="shared" si="140"/>
        <v>368.40777777777777</v>
      </c>
    </row>
    <row r="394" spans="1:53">
      <c r="A394" s="435" t="s">
        <v>164</v>
      </c>
      <c r="B394" s="311" t="s">
        <v>497</v>
      </c>
      <c r="C394" s="438"/>
      <c r="D394" s="312">
        <v>375683</v>
      </c>
      <c r="E394" s="312">
        <v>13</v>
      </c>
      <c r="F394" s="296"/>
      <c r="G394" s="297"/>
      <c r="H394" s="298"/>
      <c r="I394" s="299"/>
      <c r="J394" s="298"/>
      <c r="K394" s="299"/>
      <c r="L394" s="298"/>
      <c r="M394" s="299"/>
      <c r="N394" s="298"/>
      <c r="O394" s="299"/>
      <c r="P394" s="601">
        <f t="shared" si="123"/>
        <v>0</v>
      </c>
      <c r="Q394" s="602">
        <f t="shared" si="124"/>
        <v>0</v>
      </c>
      <c r="R394" s="603">
        <f t="shared" si="125"/>
        <v>0</v>
      </c>
      <c r="S394" s="604">
        <f t="shared" si="126"/>
        <v>0</v>
      </c>
      <c r="T394" s="298"/>
      <c r="U394" s="299"/>
      <c r="V394" s="601">
        <f t="shared" si="127"/>
        <v>0</v>
      </c>
      <c r="W394" s="605">
        <f t="shared" si="128"/>
        <v>0</v>
      </c>
      <c r="X394" s="305"/>
      <c r="Y394" s="299"/>
      <c r="Z394" s="298"/>
      <c r="AA394" s="299"/>
      <c r="AB394" s="298"/>
      <c r="AC394" s="299"/>
      <c r="AD394" s="298">
        <v>652627</v>
      </c>
      <c r="AE394" s="299">
        <v>670476.5</v>
      </c>
      <c r="AF394" s="601">
        <f t="shared" si="129"/>
        <v>652627</v>
      </c>
      <c r="AG394" s="602">
        <f t="shared" si="130"/>
        <v>725.14111111111106</v>
      </c>
      <c r="AH394" s="603">
        <f t="shared" si="131"/>
        <v>670476.5</v>
      </c>
      <c r="AI394" s="603">
        <f t="shared" si="132"/>
        <v>744.97388888888884</v>
      </c>
      <c r="AJ394" s="298"/>
      <c r="AK394" s="299"/>
      <c r="AL394" s="601">
        <f t="shared" si="133"/>
        <v>0</v>
      </c>
      <c r="AM394" s="604">
        <f t="shared" si="134"/>
        <v>0</v>
      </c>
      <c r="AN394" s="306"/>
      <c r="AO394" s="307"/>
      <c r="AP394" s="298"/>
      <c r="AQ394" s="307"/>
      <c r="AR394" s="298"/>
      <c r="AS394" s="307"/>
      <c r="AT394" s="298"/>
      <c r="AU394" s="307"/>
      <c r="AV394" s="601">
        <f t="shared" si="135"/>
        <v>0</v>
      </c>
      <c r="AW394" s="609">
        <f t="shared" si="136"/>
        <v>0</v>
      </c>
      <c r="AX394" s="603">
        <f t="shared" si="137"/>
        <v>0</v>
      </c>
      <c r="AY394" s="610">
        <f t="shared" si="138"/>
        <v>0</v>
      </c>
      <c r="AZ394" s="611">
        <f t="shared" si="139"/>
        <v>725.14111111111106</v>
      </c>
      <c r="BA394" s="603">
        <f t="shared" si="140"/>
        <v>744.97388888888884</v>
      </c>
    </row>
    <row r="395" spans="1:53">
      <c r="A395" s="435" t="s">
        <v>164</v>
      </c>
      <c r="B395" s="489" t="s">
        <v>489</v>
      </c>
      <c r="C395" s="428" t="s">
        <v>725</v>
      </c>
      <c r="D395" s="312">
        <v>364548</v>
      </c>
      <c r="E395" s="351">
        <v>13</v>
      </c>
      <c r="F395" s="296"/>
      <c r="G395" s="297"/>
      <c r="H395" s="298"/>
      <c r="I395" s="299"/>
      <c r="J395" s="298"/>
      <c r="K395" s="299"/>
      <c r="L395" s="298"/>
      <c r="M395" s="299"/>
      <c r="N395" s="298"/>
      <c r="O395" s="299"/>
      <c r="P395" s="601">
        <f t="shared" si="123"/>
        <v>0</v>
      </c>
      <c r="Q395" s="602">
        <f t="shared" si="124"/>
        <v>0</v>
      </c>
      <c r="R395" s="603">
        <f t="shared" si="125"/>
        <v>0</v>
      </c>
      <c r="S395" s="604">
        <f t="shared" si="126"/>
        <v>0</v>
      </c>
      <c r="T395" s="298"/>
      <c r="U395" s="299"/>
      <c r="V395" s="601">
        <f t="shared" si="127"/>
        <v>0</v>
      </c>
      <c r="W395" s="605">
        <f t="shared" si="128"/>
        <v>0</v>
      </c>
      <c r="X395" s="305"/>
      <c r="Y395" s="299"/>
      <c r="Z395" s="298"/>
      <c r="AA395" s="299"/>
      <c r="AB395" s="298"/>
      <c r="AC395" s="299"/>
      <c r="AD395" s="298">
        <v>833901.81</v>
      </c>
      <c r="AE395" s="299">
        <v>876995.5</v>
      </c>
      <c r="AF395" s="601">
        <f t="shared" si="129"/>
        <v>833901.81</v>
      </c>
      <c r="AG395" s="602">
        <f t="shared" si="130"/>
        <v>926.55756666666673</v>
      </c>
      <c r="AH395" s="603">
        <f t="shared" si="131"/>
        <v>876995.5</v>
      </c>
      <c r="AI395" s="603">
        <f t="shared" si="132"/>
        <v>974.43944444444446</v>
      </c>
      <c r="AJ395" s="298"/>
      <c r="AK395" s="299"/>
      <c r="AL395" s="601">
        <f t="shared" si="133"/>
        <v>0</v>
      </c>
      <c r="AM395" s="604">
        <f t="shared" si="134"/>
        <v>0</v>
      </c>
      <c r="AN395" s="306"/>
      <c r="AO395" s="307"/>
      <c r="AP395" s="298"/>
      <c r="AQ395" s="307"/>
      <c r="AR395" s="298"/>
      <c r="AS395" s="307"/>
      <c r="AT395" s="298"/>
      <c r="AU395" s="307"/>
      <c r="AV395" s="601">
        <f t="shared" si="135"/>
        <v>0</v>
      </c>
      <c r="AW395" s="609">
        <f t="shared" si="136"/>
        <v>0</v>
      </c>
      <c r="AX395" s="603">
        <f t="shared" si="137"/>
        <v>0</v>
      </c>
      <c r="AY395" s="610">
        <f t="shared" si="138"/>
        <v>0</v>
      </c>
      <c r="AZ395" s="611">
        <f t="shared" si="139"/>
        <v>926.55756666666673</v>
      </c>
      <c r="BA395" s="603">
        <f t="shared" si="140"/>
        <v>974.43944444444446</v>
      </c>
    </row>
    <row r="396" spans="1:53">
      <c r="A396" s="435" t="s">
        <v>164</v>
      </c>
      <c r="B396" s="311" t="s">
        <v>498</v>
      </c>
      <c r="C396" s="438"/>
      <c r="D396" s="312">
        <v>428019</v>
      </c>
      <c r="E396" s="312">
        <v>13</v>
      </c>
      <c r="F396" s="296"/>
      <c r="G396" s="297"/>
      <c r="H396" s="298"/>
      <c r="I396" s="299"/>
      <c r="J396" s="298"/>
      <c r="K396" s="299"/>
      <c r="L396" s="298"/>
      <c r="M396" s="299"/>
      <c r="N396" s="298"/>
      <c r="O396" s="299"/>
      <c r="P396" s="601">
        <f t="shared" si="123"/>
        <v>0</v>
      </c>
      <c r="Q396" s="602">
        <f t="shared" si="124"/>
        <v>0</v>
      </c>
      <c r="R396" s="603">
        <f t="shared" si="125"/>
        <v>0</v>
      </c>
      <c r="S396" s="604">
        <f t="shared" si="126"/>
        <v>0</v>
      </c>
      <c r="T396" s="298"/>
      <c r="U396" s="299"/>
      <c r="V396" s="601">
        <f t="shared" si="127"/>
        <v>0</v>
      </c>
      <c r="W396" s="605">
        <f t="shared" si="128"/>
        <v>0</v>
      </c>
      <c r="X396" s="305"/>
      <c r="Y396" s="299"/>
      <c r="Z396" s="298"/>
      <c r="AA396" s="299"/>
      <c r="AB396" s="298"/>
      <c r="AC396" s="299"/>
      <c r="AD396" s="298">
        <v>242862.5</v>
      </c>
      <c r="AE396" s="299">
        <v>248913</v>
      </c>
      <c r="AF396" s="601">
        <f t="shared" si="129"/>
        <v>242862.5</v>
      </c>
      <c r="AG396" s="602">
        <f t="shared" si="130"/>
        <v>269.84722222222223</v>
      </c>
      <c r="AH396" s="603">
        <f t="shared" si="131"/>
        <v>248913</v>
      </c>
      <c r="AI396" s="603">
        <f t="shared" si="132"/>
        <v>276.57</v>
      </c>
      <c r="AJ396" s="298"/>
      <c r="AK396" s="299"/>
      <c r="AL396" s="601">
        <f t="shared" si="133"/>
        <v>0</v>
      </c>
      <c r="AM396" s="604">
        <f t="shared" si="134"/>
        <v>0</v>
      </c>
      <c r="AN396" s="306"/>
      <c r="AO396" s="307"/>
      <c r="AP396" s="298"/>
      <c r="AQ396" s="307"/>
      <c r="AR396" s="298"/>
      <c r="AS396" s="307"/>
      <c r="AT396" s="298"/>
      <c r="AU396" s="307"/>
      <c r="AV396" s="601">
        <f t="shared" si="135"/>
        <v>0</v>
      </c>
      <c r="AW396" s="609">
        <f t="shared" si="136"/>
        <v>0</v>
      </c>
      <c r="AX396" s="603">
        <f t="shared" si="137"/>
        <v>0</v>
      </c>
      <c r="AY396" s="610">
        <f t="shared" si="138"/>
        <v>0</v>
      </c>
      <c r="AZ396" s="611">
        <f t="shared" si="139"/>
        <v>269.84722222222223</v>
      </c>
      <c r="BA396" s="603">
        <f t="shared" si="140"/>
        <v>276.57</v>
      </c>
    </row>
    <row r="397" spans="1:53">
      <c r="A397" s="435" t="s">
        <v>164</v>
      </c>
      <c r="B397" s="311" t="s">
        <v>499</v>
      </c>
      <c r="C397" s="438"/>
      <c r="D397" s="312">
        <v>208053</v>
      </c>
      <c r="E397" s="312">
        <v>13</v>
      </c>
      <c r="F397" s="296"/>
      <c r="G397" s="297"/>
      <c r="H397" s="298"/>
      <c r="I397" s="299"/>
      <c r="J397" s="298"/>
      <c r="K397" s="299"/>
      <c r="L397" s="298"/>
      <c r="M397" s="299"/>
      <c r="N397" s="298"/>
      <c r="O397" s="299"/>
      <c r="P397" s="601">
        <f t="shared" si="123"/>
        <v>0</v>
      </c>
      <c r="Q397" s="602">
        <f t="shared" si="124"/>
        <v>0</v>
      </c>
      <c r="R397" s="603">
        <f t="shared" si="125"/>
        <v>0</v>
      </c>
      <c r="S397" s="604">
        <f t="shared" si="126"/>
        <v>0</v>
      </c>
      <c r="T397" s="298"/>
      <c r="U397" s="299"/>
      <c r="V397" s="601">
        <f t="shared" si="127"/>
        <v>0</v>
      </c>
      <c r="W397" s="605">
        <f t="shared" si="128"/>
        <v>0</v>
      </c>
      <c r="X397" s="305"/>
      <c r="Y397" s="299"/>
      <c r="Z397" s="298"/>
      <c r="AA397" s="299"/>
      <c r="AB397" s="298"/>
      <c r="AC397" s="299"/>
      <c r="AD397" s="298">
        <v>229405.5</v>
      </c>
      <c r="AE397" s="299">
        <v>215438.75</v>
      </c>
      <c r="AF397" s="601">
        <f t="shared" si="129"/>
        <v>229405.5</v>
      </c>
      <c r="AG397" s="602">
        <f t="shared" si="130"/>
        <v>254.89500000000001</v>
      </c>
      <c r="AH397" s="603">
        <f t="shared" si="131"/>
        <v>215438.75</v>
      </c>
      <c r="AI397" s="603">
        <f t="shared" si="132"/>
        <v>239.3763888888889</v>
      </c>
      <c r="AJ397" s="298"/>
      <c r="AK397" s="299"/>
      <c r="AL397" s="601">
        <f t="shared" si="133"/>
        <v>0</v>
      </c>
      <c r="AM397" s="604">
        <f t="shared" si="134"/>
        <v>0</v>
      </c>
      <c r="AN397" s="306"/>
      <c r="AO397" s="307"/>
      <c r="AP397" s="298"/>
      <c r="AQ397" s="307"/>
      <c r="AR397" s="298"/>
      <c r="AS397" s="307"/>
      <c r="AT397" s="298"/>
      <c r="AU397" s="307"/>
      <c r="AV397" s="601">
        <f t="shared" si="135"/>
        <v>0</v>
      </c>
      <c r="AW397" s="609">
        <f t="shared" si="136"/>
        <v>0</v>
      </c>
      <c r="AX397" s="603">
        <f t="shared" si="137"/>
        <v>0</v>
      </c>
      <c r="AY397" s="610">
        <f t="shared" si="138"/>
        <v>0</v>
      </c>
      <c r="AZ397" s="611">
        <f t="shared" si="139"/>
        <v>254.89500000000001</v>
      </c>
      <c r="BA397" s="603">
        <f t="shared" si="140"/>
        <v>239.3763888888889</v>
      </c>
    </row>
    <row r="398" spans="1:53">
      <c r="A398" s="435" t="s">
        <v>164</v>
      </c>
      <c r="B398" s="311" t="s">
        <v>500</v>
      </c>
      <c r="C398" s="438"/>
      <c r="D398" s="312">
        <v>418296</v>
      </c>
      <c r="E398" s="312">
        <v>13</v>
      </c>
      <c r="F398" s="296"/>
      <c r="G398" s="297"/>
      <c r="H398" s="298"/>
      <c r="I398" s="299"/>
      <c r="J398" s="298"/>
      <c r="K398" s="299"/>
      <c r="L398" s="298"/>
      <c r="M398" s="299"/>
      <c r="N398" s="298"/>
      <c r="O398" s="299"/>
      <c r="P398" s="601">
        <f t="shared" si="123"/>
        <v>0</v>
      </c>
      <c r="Q398" s="602">
        <f t="shared" si="124"/>
        <v>0</v>
      </c>
      <c r="R398" s="603">
        <f t="shared" si="125"/>
        <v>0</v>
      </c>
      <c r="S398" s="604">
        <f t="shared" si="126"/>
        <v>0</v>
      </c>
      <c r="T398" s="298"/>
      <c r="U398" s="299"/>
      <c r="V398" s="601">
        <f t="shared" si="127"/>
        <v>0</v>
      </c>
      <c r="W398" s="605">
        <f t="shared" si="128"/>
        <v>0</v>
      </c>
      <c r="X398" s="305"/>
      <c r="Y398" s="299"/>
      <c r="Z398" s="298"/>
      <c r="AA398" s="299"/>
      <c r="AB398" s="298"/>
      <c r="AC398" s="299"/>
      <c r="AD398" s="298">
        <v>498706.5</v>
      </c>
      <c r="AE398" s="299">
        <v>490481.07</v>
      </c>
      <c r="AF398" s="601">
        <f t="shared" si="129"/>
        <v>498706.5</v>
      </c>
      <c r="AG398" s="602">
        <f t="shared" si="130"/>
        <v>554.11833333333334</v>
      </c>
      <c r="AH398" s="603">
        <f t="shared" si="131"/>
        <v>490481.07</v>
      </c>
      <c r="AI398" s="603">
        <f t="shared" si="132"/>
        <v>544.97896666666668</v>
      </c>
      <c r="AJ398" s="298"/>
      <c r="AK398" s="299"/>
      <c r="AL398" s="601">
        <f t="shared" si="133"/>
        <v>0</v>
      </c>
      <c r="AM398" s="604">
        <f t="shared" si="134"/>
        <v>0</v>
      </c>
      <c r="AN398" s="306"/>
      <c r="AO398" s="307"/>
      <c r="AP398" s="298"/>
      <c r="AQ398" s="307"/>
      <c r="AR398" s="298"/>
      <c r="AS398" s="307"/>
      <c r="AT398" s="298"/>
      <c r="AU398" s="307"/>
      <c r="AV398" s="601">
        <f t="shared" si="135"/>
        <v>0</v>
      </c>
      <c r="AW398" s="609">
        <f t="shared" si="136"/>
        <v>0</v>
      </c>
      <c r="AX398" s="603">
        <f t="shared" si="137"/>
        <v>0</v>
      </c>
      <c r="AY398" s="610">
        <f t="shared" si="138"/>
        <v>0</v>
      </c>
      <c r="AZ398" s="611">
        <f t="shared" si="139"/>
        <v>554.11833333333334</v>
      </c>
      <c r="BA398" s="603">
        <f t="shared" si="140"/>
        <v>544.97896666666668</v>
      </c>
    </row>
    <row r="399" spans="1:53">
      <c r="A399" s="435" t="s">
        <v>164</v>
      </c>
      <c r="B399" s="311" t="s">
        <v>501</v>
      </c>
      <c r="C399" s="438"/>
      <c r="D399" s="312">
        <v>421540</v>
      </c>
      <c r="E399" s="312">
        <v>13</v>
      </c>
      <c r="F399" s="296"/>
      <c r="G399" s="297"/>
      <c r="H399" s="298"/>
      <c r="I399" s="299"/>
      <c r="J399" s="298"/>
      <c r="K399" s="299"/>
      <c r="L399" s="298"/>
      <c r="M399" s="299"/>
      <c r="N399" s="298"/>
      <c r="O399" s="299"/>
      <c r="P399" s="601">
        <f t="shared" si="123"/>
        <v>0</v>
      </c>
      <c r="Q399" s="602">
        <f t="shared" si="124"/>
        <v>0</v>
      </c>
      <c r="R399" s="603">
        <f t="shared" si="125"/>
        <v>0</v>
      </c>
      <c r="S399" s="604">
        <f t="shared" si="126"/>
        <v>0</v>
      </c>
      <c r="T399" s="298"/>
      <c r="U399" s="299"/>
      <c r="V399" s="601">
        <f t="shared" si="127"/>
        <v>0</v>
      </c>
      <c r="W399" s="605">
        <f t="shared" si="128"/>
        <v>0</v>
      </c>
      <c r="X399" s="305"/>
      <c r="Y399" s="299"/>
      <c r="Z399" s="298"/>
      <c r="AA399" s="299"/>
      <c r="AB399" s="298"/>
      <c r="AC399" s="299"/>
      <c r="AD399" s="298">
        <v>167950</v>
      </c>
      <c r="AE399" s="299">
        <v>172153</v>
      </c>
      <c r="AF399" s="601">
        <f t="shared" si="129"/>
        <v>167950</v>
      </c>
      <c r="AG399" s="602">
        <f t="shared" si="130"/>
        <v>186.61111111111111</v>
      </c>
      <c r="AH399" s="603">
        <f t="shared" si="131"/>
        <v>172153</v>
      </c>
      <c r="AI399" s="603">
        <f t="shared" si="132"/>
        <v>191.2811111111111</v>
      </c>
      <c r="AJ399" s="298"/>
      <c r="AK399" s="299"/>
      <c r="AL399" s="601">
        <f t="shared" si="133"/>
        <v>0</v>
      </c>
      <c r="AM399" s="604">
        <f t="shared" si="134"/>
        <v>0</v>
      </c>
      <c r="AN399" s="306"/>
      <c r="AO399" s="307"/>
      <c r="AP399" s="298"/>
      <c r="AQ399" s="307"/>
      <c r="AR399" s="298"/>
      <c r="AS399" s="307"/>
      <c r="AT399" s="298"/>
      <c r="AU399" s="307"/>
      <c r="AV399" s="601">
        <f t="shared" si="135"/>
        <v>0</v>
      </c>
      <c r="AW399" s="609">
        <f t="shared" si="136"/>
        <v>0</v>
      </c>
      <c r="AX399" s="603">
        <f t="shared" si="137"/>
        <v>0</v>
      </c>
      <c r="AY399" s="610">
        <f t="shared" si="138"/>
        <v>0</v>
      </c>
      <c r="AZ399" s="611">
        <f t="shared" si="139"/>
        <v>186.61111111111111</v>
      </c>
      <c r="BA399" s="603">
        <f t="shared" si="140"/>
        <v>191.2811111111111</v>
      </c>
    </row>
    <row r="400" spans="1:53">
      <c r="A400" s="435" t="s">
        <v>164</v>
      </c>
      <c r="B400" s="311" t="s">
        <v>502</v>
      </c>
      <c r="C400" s="438"/>
      <c r="D400" s="312">
        <v>421559</v>
      </c>
      <c r="E400" s="312">
        <v>13</v>
      </c>
      <c r="F400" s="296"/>
      <c r="G400" s="297"/>
      <c r="H400" s="298"/>
      <c r="I400" s="299"/>
      <c r="J400" s="298"/>
      <c r="K400" s="299"/>
      <c r="L400" s="298"/>
      <c r="M400" s="299"/>
      <c r="N400" s="298"/>
      <c r="O400" s="299"/>
      <c r="P400" s="601">
        <f t="shared" si="123"/>
        <v>0</v>
      </c>
      <c r="Q400" s="602">
        <f t="shared" si="124"/>
        <v>0</v>
      </c>
      <c r="R400" s="603">
        <f t="shared" si="125"/>
        <v>0</v>
      </c>
      <c r="S400" s="604">
        <f t="shared" si="126"/>
        <v>0</v>
      </c>
      <c r="T400" s="298"/>
      <c r="U400" s="299"/>
      <c r="V400" s="601">
        <f t="shared" si="127"/>
        <v>0</v>
      </c>
      <c r="W400" s="605">
        <f t="shared" si="128"/>
        <v>0</v>
      </c>
      <c r="X400" s="305"/>
      <c r="Y400" s="299"/>
      <c r="Z400" s="298"/>
      <c r="AA400" s="299"/>
      <c r="AB400" s="298"/>
      <c r="AC400" s="299"/>
      <c r="AD400" s="298">
        <v>114297</v>
      </c>
      <c r="AE400" s="299">
        <v>103565</v>
      </c>
      <c r="AF400" s="601">
        <f t="shared" si="129"/>
        <v>114297</v>
      </c>
      <c r="AG400" s="602">
        <f t="shared" si="130"/>
        <v>126.99666666666667</v>
      </c>
      <c r="AH400" s="603">
        <f t="shared" si="131"/>
        <v>103565</v>
      </c>
      <c r="AI400" s="603">
        <f t="shared" si="132"/>
        <v>115.07222222222222</v>
      </c>
      <c r="AJ400" s="298"/>
      <c r="AK400" s="299"/>
      <c r="AL400" s="601">
        <f t="shared" si="133"/>
        <v>0</v>
      </c>
      <c r="AM400" s="604">
        <f t="shared" si="134"/>
        <v>0</v>
      </c>
      <c r="AN400" s="306"/>
      <c r="AO400" s="307"/>
      <c r="AP400" s="298"/>
      <c r="AQ400" s="307"/>
      <c r="AR400" s="298"/>
      <c r="AS400" s="307"/>
      <c r="AT400" s="298"/>
      <c r="AU400" s="307"/>
      <c r="AV400" s="601">
        <f t="shared" si="135"/>
        <v>0</v>
      </c>
      <c r="AW400" s="609">
        <f t="shared" si="136"/>
        <v>0</v>
      </c>
      <c r="AX400" s="603">
        <f t="shared" si="137"/>
        <v>0</v>
      </c>
      <c r="AY400" s="610">
        <f t="shared" si="138"/>
        <v>0</v>
      </c>
      <c r="AZ400" s="611">
        <f t="shared" si="139"/>
        <v>126.99666666666667</v>
      </c>
      <c r="BA400" s="603">
        <f t="shared" si="140"/>
        <v>115.07222222222222</v>
      </c>
    </row>
    <row r="401" spans="1:53">
      <c r="A401" s="435" t="s">
        <v>164</v>
      </c>
      <c r="B401" s="311" t="s">
        <v>503</v>
      </c>
      <c r="C401" s="438"/>
      <c r="D401" s="312">
        <v>208026</v>
      </c>
      <c r="E401" s="312">
        <v>13</v>
      </c>
      <c r="F401" s="296"/>
      <c r="G401" s="297"/>
      <c r="H401" s="298"/>
      <c r="I401" s="299"/>
      <c r="J401" s="298"/>
      <c r="K401" s="299"/>
      <c r="L401" s="298"/>
      <c r="M401" s="299"/>
      <c r="N401" s="298"/>
      <c r="O401" s="299"/>
      <c r="P401" s="601">
        <f t="shared" si="123"/>
        <v>0</v>
      </c>
      <c r="Q401" s="602">
        <f t="shared" si="124"/>
        <v>0</v>
      </c>
      <c r="R401" s="603">
        <f t="shared" si="125"/>
        <v>0</v>
      </c>
      <c r="S401" s="604">
        <f t="shared" si="126"/>
        <v>0</v>
      </c>
      <c r="T401" s="298"/>
      <c r="U401" s="299"/>
      <c r="V401" s="601">
        <f t="shared" si="127"/>
        <v>0</v>
      </c>
      <c r="W401" s="605">
        <f t="shared" si="128"/>
        <v>0</v>
      </c>
      <c r="X401" s="305"/>
      <c r="Y401" s="299"/>
      <c r="Z401" s="298"/>
      <c r="AA401" s="299"/>
      <c r="AB401" s="298"/>
      <c r="AC401" s="299"/>
      <c r="AD401" s="298">
        <v>214010.35</v>
      </c>
      <c r="AE401" s="299">
        <v>209746</v>
      </c>
      <c r="AF401" s="601">
        <f t="shared" si="129"/>
        <v>214010.35</v>
      </c>
      <c r="AG401" s="602">
        <f t="shared" si="130"/>
        <v>237.78927777777778</v>
      </c>
      <c r="AH401" s="603">
        <f t="shared" si="131"/>
        <v>209746</v>
      </c>
      <c r="AI401" s="603">
        <f t="shared" si="132"/>
        <v>233.05111111111111</v>
      </c>
      <c r="AJ401" s="298"/>
      <c r="AK401" s="299"/>
      <c r="AL401" s="601">
        <f t="shared" si="133"/>
        <v>0</v>
      </c>
      <c r="AM401" s="604">
        <f t="shared" si="134"/>
        <v>0</v>
      </c>
      <c r="AN401" s="306"/>
      <c r="AO401" s="307"/>
      <c r="AP401" s="298"/>
      <c r="AQ401" s="307"/>
      <c r="AR401" s="298"/>
      <c r="AS401" s="307"/>
      <c r="AT401" s="298"/>
      <c r="AU401" s="307"/>
      <c r="AV401" s="601">
        <f t="shared" si="135"/>
        <v>0</v>
      </c>
      <c r="AW401" s="609">
        <f t="shared" si="136"/>
        <v>0</v>
      </c>
      <c r="AX401" s="603">
        <f t="shared" si="137"/>
        <v>0</v>
      </c>
      <c r="AY401" s="610">
        <f t="shared" si="138"/>
        <v>0</v>
      </c>
      <c r="AZ401" s="611">
        <f t="shared" si="139"/>
        <v>237.78927777777778</v>
      </c>
      <c r="BA401" s="603">
        <f t="shared" si="140"/>
        <v>233.05111111111111</v>
      </c>
    </row>
    <row r="402" spans="1:53">
      <c r="A402" s="435" t="s">
        <v>164</v>
      </c>
      <c r="B402" s="311" t="s">
        <v>504</v>
      </c>
      <c r="C402" s="438"/>
      <c r="D402" s="312">
        <v>375692</v>
      </c>
      <c r="E402" s="312">
        <v>13</v>
      </c>
      <c r="F402" s="296"/>
      <c r="G402" s="297"/>
      <c r="H402" s="298"/>
      <c r="I402" s="299"/>
      <c r="J402" s="298"/>
      <c r="K402" s="299"/>
      <c r="L402" s="298"/>
      <c r="M402" s="299"/>
      <c r="N402" s="298"/>
      <c r="O402" s="299"/>
      <c r="P402" s="601">
        <f t="shared" si="123"/>
        <v>0</v>
      </c>
      <c r="Q402" s="602">
        <f t="shared" si="124"/>
        <v>0</v>
      </c>
      <c r="R402" s="603">
        <f t="shared" si="125"/>
        <v>0</v>
      </c>
      <c r="S402" s="604">
        <f t="shared" si="126"/>
        <v>0</v>
      </c>
      <c r="T402" s="298"/>
      <c r="U402" s="299"/>
      <c r="V402" s="601">
        <f t="shared" si="127"/>
        <v>0</v>
      </c>
      <c r="W402" s="605">
        <f t="shared" si="128"/>
        <v>0</v>
      </c>
      <c r="X402" s="305"/>
      <c r="Y402" s="299"/>
      <c r="Z402" s="298"/>
      <c r="AA402" s="299"/>
      <c r="AB402" s="298"/>
      <c r="AC402" s="299"/>
      <c r="AD402" s="599">
        <v>123431</v>
      </c>
      <c r="AE402" s="600">
        <v>109267.5</v>
      </c>
      <c r="AF402" s="601">
        <f t="shared" si="129"/>
        <v>123431</v>
      </c>
      <c r="AG402" s="602">
        <f t="shared" si="130"/>
        <v>137.14555555555555</v>
      </c>
      <c r="AH402" s="603">
        <f t="shared" si="131"/>
        <v>109267.5</v>
      </c>
      <c r="AI402" s="603">
        <f t="shared" si="132"/>
        <v>121.40833333333333</v>
      </c>
      <c r="AJ402" s="298"/>
      <c r="AK402" s="299"/>
      <c r="AL402" s="601">
        <f t="shared" si="133"/>
        <v>0</v>
      </c>
      <c r="AM402" s="604">
        <f t="shared" si="134"/>
        <v>0</v>
      </c>
      <c r="AN402" s="306"/>
      <c r="AO402" s="307"/>
      <c r="AP402" s="298"/>
      <c r="AQ402" s="307"/>
      <c r="AR402" s="298"/>
      <c r="AS402" s="307"/>
      <c r="AT402" s="298"/>
      <c r="AU402" s="307"/>
      <c r="AV402" s="601">
        <f t="shared" si="135"/>
        <v>0</v>
      </c>
      <c r="AW402" s="609">
        <f t="shared" si="136"/>
        <v>0</v>
      </c>
      <c r="AX402" s="603">
        <f t="shared" si="137"/>
        <v>0</v>
      </c>
      <c r="AY402" s="610">
        <f t="shared" si="138"/>
        <v>0</v>
      </c>
      <c r="AZ402" s="611">
        <f t="shared" si="139"/>
        <v>137.14555555555555</v>
      </c>
      <c r="BA402" s="603">
        <f t="shared" si="140"/>
        <v>121.40833333333333</v>
      </c>
    </row>
    <row r="403" spans="1:53">
      <c r="A403" s="435" t="s">
        <v>164</v>
      </c>
      <c r="B403" s="311" t="s">
        <v>505</v>
      </c>
      <c r="C403" s="438"/>
      <c r="D403" s="312">
        <v>375708</v>
      </c>
      <c r="E403" s="312">
        <v>13</v>
      </c>
      <c r="F403" s="296"/>
      <c r="G403" s="297"/>
      <c r="H403" s="298"/>
      <c r="I403" s="299"/>
      <c r="J403" s="298"/>
      <c r="K403" s="299"/>
      <c r="L403" s="298"/>
      <c r="M403" s="299"/>
      <c r="N403" s="298"/>
      <c r="O403" s="299"/>
      <c r="P403" s="601">
        <f t="shared" si="123"/>
        <v>0</v>
      </c>
      <c r="Q403" s="602">
        <f t="shared" si="124"/>
        <v>0</v>
      </c>
      <c r="R403" s="603">
        <f t="shared" si="125"/>
        <v>0</v>
      </c>
      <c r="S403" s="604">
        <f t="shared" si="126"/>
        <v>0</v>
      </c>
      <c r="T403" s="298"/>
      <c r="U403" s="299"/>
      <c r="V403" s="601">
        <f t="shared" si="127"/>
        <v>0</v>
      </c>
      <c r="W403" s="605">
        <f t="shared" si="128"/>
        <v>0</v>
      </c>
      <c r="X403" s="305"/>
      <c r="Y403" s="299"/>
      <c r="Z403" s="298"/>
      <c r="AA403" s="299"/>
      <c r="AB403" s="298"/>
      <c r="AC403" s="299"/>
      <c r="AD403" s="298">
        <v>240929.5</v>
      </c>
      <c r="AE403" s="299">
        <v>203568</v>
      </c>
      <c r="AF403" s="601">
        <f t="shared" si="129"/>
        <v>240929.5</v>
      </c>
      <c r="AG403" s="602">
        <f t="shared" si="130"/>
        <v>267.69944444444445</v>
      </c>
      <c r="AH403" s="603">
        <f t="shared" si="131"/>
        <v>203568</v>
      </c>
      <c r="AI403" s="603">
        <f t="shared" si="132"/>
        <v>226.18666666666667</v>
      </c>
      <c r="AJ403" s="298"/>
      <c r="AK403" s="299"/>
      <c r="AL403" s="601">
        <f t="shared" si="133"/>
        <v>0</v>
      </c>
      <c r="AM403" s="604">
        <f t="shared" si="134"/>
        <v>0</v>
      </c>
      <c r="AN403" s="306"/>
      <c r="AO403" s="307"/>
      <c r="AP403" s="298"/>
      <c r="AQ403" s="307"/>
      <c r="AR403" s="298"/>
      <c r="AS403" s="307"/>
      <c r="AT403" s="298"/>
      <c r="AU403" s="307"/>
      <c r="AV403" s="601">
        <f t="shared" si="135"/>
        <v>0</v>
      </c>
      <c r="AW403" s="609">
        <f t="shared" si="136"/>
        <v>0</v>
      </c>
      <c r="AX403" s="603">
        <f t="shared" si="137"/>
        <v>0</v>
      </c>
      <c r="AY403" s="610">
        <f t="shared" si="138"/>
        <v>0</v>
      </c>
      <c r="AZ403" s="611">
        <f t="shared" si="139"/>
        <v>267.69944444444445</v>
      </c>
      <c r="BA403" s="603">
        <f t="shared" si="140"/>
        <v>226.18666666666667</v>
      </c>
    </row>
    <row r="404" spans="1:53">
      <c r="A404" s="435" t="s">
        <v>164</v>
      </c>
      <c r="B404" s="311" t="s">
        <v>506</v>
      </c>
      <c r="C404" s="438"/>
      <c r="D404" s="312">
        <v>375717</v>
      </c>
      <c r="E404" s="312">
        <v>13</v>
      </c>
      <c r="F404" s="296"/>
      <c r="G404" s="297"/>
      <c r="H404" s="298"/>
      <c r="I404" s="299"/>
      <c r="J404" s="298"/>
      <c r="K404" s="299"/>
      <c r="L404" s="298"/>
      <c r="M404" s="299"/>
      <c r="N404" s="298"/>
      <c r="O404" s="299"/>
      <c r="P404" s="601">
        <f t="shared" si="123"/>
        <v>0</v>
      </c>
      <c r="Q404" s="602">
        <f t="shared" si="124"/>
        <v>0</v>
      </c>
      <c r="R404" s="603">
        <f t="shared" si="125"/>
        <v>0</v>
      </c>
      <c r="S404" s="604">
        <f t="shared" si="126"/>
        <v>0</v>
      </c>
      <c r="T404" s="298"/>
      <c r="U404" s="299"/>
      <c r="V404" s="601">
        <f t="shared" si="127"/>
        <v>0</v>
      </c>
      <c r="W404" s="605">
        <f t="shared" si="128"/>
        <v>0</v>
      </c>
      <c r="X404" s="305"/>
      <c r="Y404" s="299"/>
      <c r="Z404" s="298"/>
      <c r="AA404" s="299"/>
      <c r="AB404" s="298"/>
      <c r="AC404" s="299"/>
      <c r="AD404" s="298">
        <v>136521.5</v>
      </c>
      <c r="AE404" s="299">
        <v>147098</v>
      </c>
      <c r="AF404" s="601">
        <f t="shared" si="129"/>
        <v>136521.5</v>
      </c>
      <c r="AG404" s="602">
        <f t="shared" si="130"/>
        <v>151.69055555555556</v>
      </c>
      <c r="AH404" s="603">
        <f t="shared" si="131"/>
        <v>147098</v>
      </c>
      <c r="AI404" s="603">
        <f t="shared" si="132"/>
        <v>163.44222222222223</v>
      </c>
      <c r="AJ404" s="298"/>
      <c r="AK404" s="299"/>
      <c r="AL404" s="601">
        <f t="shared" si="133"/>
        <v>0</v>
      </c>
      <c r="AM404" s="604">
        <f t="shared" si="134"/>
        <v>0</v>
      </c>
      <c r="AN404" s="306"/>
      <c r="AO404" s="307"/>
      <c r="AP404" s="298"/>
      <c r="AQ404" s="307"/>
      <c r="AR404" s="298"/>
      <c r="AS404" s="307"/>
      <c r="AT404" s="298"/>
      <c r="AU404" s="307"/>
      <c r="AV404" s="601">
        <f t="shared" si="135"/>
        <v>0</v>
      </c>
      <c r="AW404" s="609">
        <f t="shared" si="136"/>
        <v>0</v>
      </c>
      <c r="AX404" s="603">
        <f t="shared" si="137"/>
        <v>0</v>
      </c>
      <c r="AY404" s="610">
        <f t="shared" si="138"/>
        <v>0</v>
      </c>
      <c r="AZ404" s="611">
        <f t="shared" si="139"/>
        <v>151.69055555555556</v>
      </c>
      <c r="BA404" s="603">
        <f t="shared" si="140"/>
        <v>163.44222222222223</v>
      </c>
    </row>
    <row r="405" spans="1:53">
      <c r="A405" s="435" t="s">
        <v>164</v>
      </c>
      <c r="B405" s="311" t="s">
        <v>507</v>
      </c>
      <c r="C405" s="438"/>
      <c r="D405" s="312">
        <v>375735</v>
      </c>
      <c r="E405" s="312">
        <v>13</v>
      </c>
      <c r="F405" s="296"/>
      <c r="G405" s="297"/>
      <c r="H405" s="298"/>
      <c r="I405" s="299"/>
      <c r="J405" s="298"/>
      <c r="K405" s="299"/>
      <c r="L405" s="298"/>
      <c r="M405" s="299"/>
      <c r="N405" s="298"/>
      <c r="O405" s="299"/>
      <c r="P405" s="601">
        <f t="shared" si="123"/>
        <v>0</v>
      </c>
      <c r="Q405" s="602">
        <f t="shared" si="124"/>
        <v>0</v>
      </c>
      <c r="R405" s="603">
        <f t="shared" si="125"/>
        <v>0</v>
      </c>
      <c r="S405" s="604">
        <f t="shared" si="126"/>
        <v>0</v>
      </c>
      <c r="T405" s="298"/>
      <c r="U405" s="299"/>
      <c r="V405" s="601">
        <f t="shared" si="127"/>
        <v>0</v>
      </c>
      <c r="W405" s="605">
        <f t="shared" si="128"/>
        <v>0</v>
      </c>
      <c r="X405" s="305"/>
      <c r="Y405" s="299"/>
      <c r="Z405" s="298"/>
      <c r="AA405" s="299"/>
      <c r="AB405" s="298"/>
      <c r="AC405" s="299"/>
      <c r="AD405" s="298">
        <v>331053.5</v>
      </c>
      <c r="AE405" s="299">
        <v>180915</v>
      </c>
      <c r="AF405" s="601">
        <f t="shared" si="129"/>
        <v>331053.5</v>
      </c>
      <c r="AG405" s="602">
        <f t="shared" si="130"/>
        <v>367.83722222222224</v>
      </c>
      <c r="AH405" s="603">
        <f t="shared" si="131"/>
        <v>180915</v>
      </c>
      <c r="AI405" s="603">
        <f t="shared" si="132"/>
        <v>201.01666666666668</v>
      </c>
      <c r="AJ405" s="298"/>
      <c r="AK405" s="299"/>
      <c r="AL405" s="601">
        <f t="shared" si="133"/>
        <v>0</v>
      </c>
      <c r="AM405" s="604">
        <f t="shared" si="134"/>
        <v>0</v>
      </c>
      <c r="AN405" s="306"/>
      <c r="AO405" s="307"/>
      <c r="AP405" s="298"/>
      <c r="AQ405" s="307"/>
      <c r="AR405" s="298"/>
      <c r="AS405" s="307"/>
      <c r="AT405" s="298"/>
      <c r="AU405" s="307"/>
      <c r="AV405" s="601">
        <f t="shared" si="135"/>
        <v>0</v>
      </c>
      <c r="AW405" s="609">
        <f t="shared" si="136"/>
        <v>0</v>
      </c>
      <c r="AX405" s="603">
        <f t="shared" si="137"/>
        <v>0</v>
      </c>
      <c r="AY405" s="610">
        <f t="shared" si="138"/>
        <v>0</v>
      </c>
      <c r="AZ405" s="611">
        <f t="shared" si="139"/>
        <v>367.83722222222224</v>
      </c>
      <c r="BA405" s="603">
        <f t="shared" si="140"/>
        <v>201.01666666666668</v>
      </c>
    </row>
    <row r="406" spans="1:53">
      <c r="A406" s="435" t="s">
        <v>164</v>
      </c>
      <c r="B406" s="311" t="s">
        <v>508</v>
      </c>
      <c r="C406" s="438"/>
      <c r="D406" s="312">
        <v>375726</v>
      </c>
      <c r="E406" s="312">
        <v>13</v>
      </c>
      <c r="F406" s="296"/>
      <c r="G406" s="297"/>
      <c r="H406" s="298"/>
      <c r="I406" s="299"/>
      <c r="J406" s="298"/>
      <c r="K406" s="299"/>
      <c r="L406" s="298"/>
      <c r="M406" s="299"/>
      <c r="N406" s="298"/>
      <c r="O406" s="299"/>
      <c r="P406" s="601">
        <f t="shared" si="123"/>
        <v>0</v>
      </c>
      <c r="Q406" s="602">
        <f t="shared" si="124"/>
        <v>0</v>
      </c>
      <c r="R406" s="603">
        <f t="shared" si="125"/>
        <v>0</v>
      </c>
      <c r="S406" s="604">
        <f t="shared" si="126"/>
        <v>0</v>
      </c>
      <c r="T406" s="298"/>
      <c r="U406" s="299"/>
      <c r="V406" s="601">
        <f t="shared" si="127"/>
        <v>0</v>
      </c>
      <c r="W406" s="605">
        <f t="shared" si="128"/>
        <v>0</v>
      </c>
      <c r="X406" s="305"/>
      <c r="Y406" s="299"/>
      <c r="Z406" s="298"/>
      <c r="AA406" s="299"/>
      <c r="AB406" s="298"/>
      <c r="AC406" s="299"/>
      <c r="AD406" s="298">
        <v>319569.5</v>
      </c>
      <c r="AE406" s="299">
        <v>321603.5</v>
      </c>
      <c r="AF406" s="601">
        <f t="shared" si="129"/>
        <v>319569.5</v>
      </c>
      <c r="AG406" s="602">
        <f t="shared" si="130"/>
        <v>355.07722222222225</v>
      </c>
      <c r="AH406" s="603">
        <f t="shared" si="131"/>
        <v>321603.5</v>
      </c>
      <c r="AI406" s="603">
        <f t="shared" si="132"/>
        <v>357.33722222222224</v>
      </c>
      <c r="AJ406" s="298"/>
      <c r="AK406" s="299"/>
      <c r="AL406" s="601">
        <f t="shared" si="133"/>
        <v>0</v>
      </c>
      <c r="AM406" s="604">
        <f t="shared" si="134"/>
        <v>0</v>
      </c>
      <c r="AN406" s="306"/>
      <c r="AO406" s="307"/>
      <c r="AP406" s="298"/>
      <c r="AQ406" s="307"/>
      <c r="AR406" s="298"/>
      <c r="AS406" s="307"/>
      <c r="AT406" s="298"/>
      <c r="AU406" s="307"/>
      <c r="AV406" s="601">
        <f t="shared" si="135"/>
        <v>0</v>
      </c>
      <c r="AW406" s="609">
        <f t="shared" si="136"/>
        <v>0</v>
      </c>
      <c r="AX406" s="603">
        <f t="shared" si="137"/>
        <v>0</v>
      </c>
      <c r="AY406" s="610">
        <f t="shared" si="138"/>
        <v>0</v>
      </c>
      <c r="AZ406" s="611">
        <f t="shared" si="139"/>
        <v>355.07722222222225</v>
      </c>
      <c r="BA406" s="603">
        <f t="shared" si="140"/>
        <v>357.33722222222224</v>
      </c>
    </row>
    <row r="407" spans="1:53">
      <c r="A407" s="435" t="s">
        <v>164</v>
      </c>
      <c r="B407" s="311" t="s">
        <v>509</v>
      </c>
      <c r="C407" s="438"/>
      <c r="D407" s="312">
        <v>375744</v>
      </c>
      <c r="E407" s="312">
        <v>13</v>
      </c>
      <c r="F407" s="296"/>
      <c r="G407" s="297"/>
      <c r="H407" s="298"/>
      <c r="I407" s="299"/>
      <c r="J407" s="298"/>
      <c r="K407" s="299"/>
      <c r="L407" s="298"/>
      <c r="M407" s="299"/>
      <c r="N407" s="298"/>
      <c r="O407" s="299"/>
      <c r="P407" s="601">
        <f t="shared" si="123"/>
        <v>0</v>
      </c>
      <c r="Q407" s="602">
        <f t="shared" si="124"/>
        <v>0</v>
      </c>
      <c r="R407" s="603">
        <f t="shared" si="125"/>
        <v>0</v>
      </c>
      <c r="S407" s="604">
        <f t="shared" si="126"/>
        <v>0</v>
      </c>
      <c r="T407" s="298"/>
      <c r="U407" s="299"/>
      <c r="V407" s="601">
        <f t="shared" si="127"/>
        <v>0</v>
      </c>
      <c r="W407" s="605">
        <f t="shared" si="128"/>
        <v>0</v>
      </c>
      <c r="X407" s="305"/>
      <c r="Y407" s="299"/>
      <c r="Z407" s="298"/>
      <c r="AA407" s="299"/>
      <c r="AB407" s="298"/>
      <c r="AC407" s="299"/>
      <c r="AD407" s="298">
        <v>286299.75</v>
      </c>
      <c r="AE407" s="299">
        <v>266179.5</v>
      </c>
      <c r="AF407" s="601">
        <f t="shared" si="129"/>
        <v>286299.75</v>
      </c>
      <c r="AG407" s="602">
        <f t="shared" si="130"/>
        <v>318.11083333333335</v>
      </c>
      <c r="AH407" s="603">
        <f t="shared" si="131"/>
        <v>266179.5</v>
      </c>
      <c r="AI407" s="603">
        <f t="shared" si="132"/>
        <v>295.755</v>
      </c>
      <c r="AJ407" s="298"/>
      <c r="AK407" s="299"/>
      <c r="AL407" s="601">
        <f t="shared" si="133"/>
        <v>0</v>
      </c>
      <c r="AM407" s="604">
        <f t="shared" si="134"/>
        <v>0</v>
      </c>
      <c r="AN407" s="306"/>
      <c r="AO407" s="307"/>
      <c r="AP407" s="298"/>
      <c r="AQ407" s="307"/>
      <c r="AR407" s="298"/>
      <c r="AS407" s="307"/>
      <c r="AT407" s="298"/>
      <c r="AU407" s="307"/>
      <c r="AV407" s="601">
        <f t="shared" si="135"/>
        <v>0</v>
      </c>
      <c r="AW407" s="609">
        <f t="shared" si="136"/>
        <v>0</v>
      </c>
      <c r="AX407" s="603">
        <f t="shared" si="137"/>
        <v>0</v>
      </c>
      <c r="AY407" s="610">
        <f t="shared" si="138"/>
        <v>0</v>
      </c>
      <c r="AZ407" s="611">
        <f t="shared" si="139"/>
        <v>318.11083333333335</v>
      </c>
      <c r="BA407" s="603">
        <f t="shared" si="140"/>
        <v>295.755</v>
      </c>
    </row>
    <row r="408" spans="1:53">
      <c r="A408" s="435" t="s">
        <v>164</v>
      </c>
      <c r="B408" s="311" t="s">
        <v>510</v>
      </c>
      <c r="C408" s="438"/>
      <c r="D408" s="312">
        <v>375753</v>
      </c>
      <c r="E408" s="312">
        <v>13</v>
      </c>
      <c r="F408" s="296"/>
      <c r="G408" s="297"/>
      <c r="H408" s="298"/>
      <c r="I408" s="299"/>
      <c r="J408" s="298"/>
      <c r="K408" s="299"/>
      <c r="L408" s="298"/>
      <c r="M408" s="299"/>
      <c r="N408" s="298"/>
      <c r="O408" s="299"/>
      <c r="P408" s="601">
        <f t="shared" si="123"/>
        <v>0</v>
      </c>
      <c r="Q408" s="602">
        <f t="shared" si="124"/>
        <v>0</v>
      </c>
      <c r="R408" s="603">
        <f t="shared" si="125"/>
        <v>0</v>
      </c>
      <c r="S408" s="604">
        <f t="shared" si="126"/>
        <v>0</v>
      </c>
      <c r="T408" s="298"/>
      <c r="U408" s="299"/>
      <c r="V408" s="601">
        <f t="shared" si="127"/>
        <v>0</v>
      </c>
      <c r="W408" s="605">
        <f t="shared" si="128"/>
        <v>0</v>
      </c>
      <c r="X408" s="305"/>
      <c r="Y408" s="299"/>
      <c r="Z408" s="298"/>
      <c r="AA408" s="299"/>
      <c r="AB408" s="298"/>
      <c r="AC408" s="299"/>
      <c r="AD408" s="298">
        <v>31465</v>
      </c>
      <c r="AE408" s="299">
        <v>24676</v>
      </c>
      <c r="AF408" s="601">
        <f t="shared" si="129"/>
        <v>31465</v>
      </c>
      <c r="AG408" s="602">
        <f t="shared" si="130"/>
        <v>34.961111111111109</v>
      </c>
      <c r="AH408" s="603">
        <f t="shared" si="131"/>
        <v>24676</v>
      </c>
      <c r="AI408" s="603">
        <f t="shared" si="132"/>
        <v>27.417777777777779</v>
      </c>
      <c r="AJ408" s="298"/>
      <c r="AK408" s="299"/>
      <c r="AL408" s="601">
        <f t="shared" si="133"/>
        <v>0</v>
      </c>
      <c r="AM408" s="604">
        <f t="shared" si="134"/>
        <v>0</v>
      </c>
      <c r="AN408" s="306"/>
      <c r="AO408" s="307"/>
      <c r="AP408" s="298"/>
      <c r="AQ408" s="307"/>
      <c r="AR408" s="298"/>
      <c r="AS408" s="307"/>
      <c r="AT408" s="298"/>
      <c r="AU408" s="307"/>
      <c r="AV408" s="601">
        <f t="shared" si="135"/>
        <v>0</v>
      </c>
      <c r="AW408" s="609">
        <f t="shared" si="136"/>
        <v>0</v>
      </c>
      <c r="AX408" s="603">
        <f t="shared" si="137"/>
        <v>0</v>
      </c>
      <c r="AY408" s="610">
        <f t="shared" si="138"/>
        <v>0</v>
      </c>
      <c r="AZ408" s="611">
        <f t="shared" si="139"/>
        <v>34.961111111111109</v>
      </c>
      <c r="BA408" s="603">
        <f t="shared" si="140"/>
        <v>27.417777777777779</v>
      </c>
    </row>
    <row r="409" spans="1:53">
      <c r="A409" s="435" t="s">
        <v>164</v>
      </c>
      <c r="B409" s="311" t="s">
        <v>511</v>
      </c>
      <c r="C409" s="438"/>
      <c r="D409" s="312">
        <v>405748</v>
      </c>
      <c r="E409" s="312">
        <v>13</v>
      </c>
      <c r="F409" s="296"/>
      <c r="G409" s="297"/>
      <c r="H409" s="298"/>
      <c r="I409" s="299"/>
      <c r="J409" s="298"/>
      <c r="K409" s="299"/>
      <c r="L409" s="298"/>
      <c r="M409" s="299"/>
      <c r="N409" s="298"/>
      <c r="O409" s="299"/>
      <c r="P409" s="601">
        <f t="shared" si="123"/>
        <v>0</v>
      </c>
      <c r="Q409" s="602">
        <f t="shared" si="124"/>
        <v>0</v>
      </c>
      <c r="R409" s="603">
        <f t="shared" si="125"/>
        <v>0</v>
      </c>
      <c r="S409" s="604">
        <f t="shared" si="126"/>
        <v>0</v>
      </c>
      <c r="T409" s="298"/>
      <c r="U409" s="299"/>
      <c r="V409" s="601">
        <f t="shared" si="127"/>
        <v>0</v>
      </c>
      <c r="W409" s="605">
        <f t="shared" si="128"/>
        <v>0</v>
      </c>
      <c r="X409" s="305"/>
      <c r="Y409" s="299"/>
      <c r="Z409" s="298"/>
      <c r="AA409" s="299"/>
      <c r="AB409" s="298"/>
      <c r="AC409" s="299"/>
      <c r="AD409" s="298">
        <v>85055</v>
      </c>
      <c r="AE409" s="299">
        <v>86214</v>
      </c>
      <c r="AF409" s="601">
        <f t="shared" si="129"/>
        <v>85055</v>
      </c>
      <c r="AG409" s="602">
        <f t="shared" si="130"/>
        <v>94.50555555555556</v>
      </c>
      <c r="AH409" s="603">
        <f t="shared" si="131"/>
        <v>86214</v>
      </c>
      <c r="AI409" s="603">
        <f t="shared" si="132"/>
        <v>95.793333333333337</v>
      </c>
      <c r="AJ409" s="298"/>
      <c r="AK409" s="299"/>
      <c r="AL409" s="601">
        <f t="shared" si="133"/>
        <v>0</v>
      </c>
      <c r="AM409" s="604">
        <f t="shared" si="134"/>
        <v>0</v>
      </c>
      <c r="AN409" s="306"/>
      <c r="AO409" s="307"/>
      <c r="AP409" s="298"/>
      <c r="AQ409" s="307"/>
      <c r="AR409" s="298"/>
      <c r="AS409" s="307"/>
      <c r="AT409" s="298"/>
      <c r="AU409" s="307"/>
      <c r="AV409" s="601">
        <f t="shared" si="135"/>
        <v>0</v>
      </c>
      <c r="AW409" s="609">
        <f t="shared" si="136"/>
        <v>0</v>
      </c>
      <c r="AX409" s="603">
        <f t="shared" si="137"/>
        <v>0</v>
      </c>
      <c r="AY409" s="610">
        <f t="shared" si="138"/>
        <v>0</v>
      </c>
      <c r="AZ409" s="611">
        <f t="shared" si="139"/>
        <v>94.50555555555556</v>
      </c>
      <c r="BA409" s="603">
        <f t="shared" si="140"/>
        <v>95.793333333333337</v>
      </c>
    </row>
    <row r="410" spans="1:53">
      <c r="A410" s="435" t="s">
        <v>164</v>
      </c>
      <c r="B410" s="311" t="s">
        <v>512</v>
      </c>
      <c r="C410" s="438"/>
      <c r="D410" s="312">
        <v>375762</v>
      </c>
      <c r="E410" s="312">
        <v>13</v>
      </c>
      <c r="F410" s="296"/>
      <c r="G410" s="297"/>
      <c r="H410" s="298"/>
      <c r="I410" s="299"/>
      <c r="J410" s="298"/>
      <c r="K410" s="299"/>
      <c r="L410" s="298"/>
      <c r="M410" s="299"/>
      <c r="N410" s="298"/>
      <c r="O410" s="299"/>
      <c r="P410" s="601">
        <f t="shared" si="123"/>
        <v>0</v>
      </c>
      <c r="Q410" s="602">
        <f t="shared" si="124"/>
        <v>0</v>
      </c>
      <c r="R410" s="603">
        <f t="shared" si="125"/>
        <v>0</v>
      </c>
      <c r="S410" s="604">
        <f t="shared" si="126"/>
        <v>0</v>
      </c>
      <c r="T410" s="298"/>
      <c r="U410" s="299"/>
      <c r="V410" s="601">
        <f t="shared" si="127"/>
        <v>0</v>
      </c>
      <c r="W410" s="605">
        <f t="shared" si="128"/>
        <v>0</v>
      </c>
      <c r="X410" s="305"/>
      <c r="Y410" s="299"/>
      <c r="Z410" s="298"/>
      <c r="AA410" s="299"/>
      <c r="AB410" s="298"/>
      <c r="AC410" s="299"/>
      <c r="AD410" s="298">
        <v>70651.3</v>
      </c>
      <c r="AE410" s="299">
        <v>70761</v>
      </c>
      <c r="AF410" s="601">
        <f t="shared" si="129"/>
        <v>70651.3</v>
      </c>
      <c r="AG410" s="602">
        <f t="shared" si="130"/>
        <v>78.501444444444445</v>
      </c>
      <c r="AH410" s="603">
        <f t="shared" si="131"/>
        <v>70761</v>
      </c>
      <c r="AI410" s="603">
        <f t="shared" si="132"/>
        <v>78.623333333333335</v>
      </c>
      <c r="AJ410" s="298"/>
      <c r="AK410" s="299"/>
      <c r="AL410" s="601">
        <f t="shared" si="133"/>
        <v>0</v>
      </c>
      <c r="AM410" s="604">
        <f t="shared" si="134"/>
        <v>0</v>
      </c>
      <c r="AN410" s="306"/>
      <c r="AO410" s="307"/>
      <c r="AP410" s="298"/>
      <c r="AQ410" s="307"/>
      <c r="AR410" s="298"/>
      <c r="AS410" s="307"/>
      <c r="AT410" s="298"/>
      <c r="AU410" s="307"/>
      <c r="AV410" s="601">
        <f t="shared" si="135"/>
        <v>0</v>
      </c>
      <c r="AW410" s="609">
        <f t="shared" si="136"/>
        <v>0</v>
      </c>
      <c r="AX410" s="603">
        <f t="shared" si="137"/>
        <v>0</v>
      </c>
      <c r="AY410" s="610">
        <f t="shared" si="138"/>
        <v>0</v>
      </c>
      <c r="AZ410" s="611">
        <f t="shared" si="139"/>
        <v>78.501444444444445</v>
      </c>
      <c r="BA410" s="603">
        <f t="shared" si="140"/>
        <v>78.623333333333335</v>
      </c>
    </row>
    <row r="411" spans="1:53">
      <c r="A411" s="435" t="s">
        <v>164</v>
      </c>
      <c r="B411" s="311" t="s">
        <v>513</v>
      </c>
      <c r="C411" s="438"/>
      <c r="D411" s="312">
        <v>365480</v>
      </c>
      <c r="E411" s="312">
        <v>13</v>
      </c>
      <c r="F411" s="296"/>
      <c r="G411" s="297"/>
      <c r="H411" s="298"/>
      <c r="I411" s="299"/>
      <c r="J411" s="298"/>
      <c r="K411" s="299"/>
      <c r="L411" s="298"/>
      <c r="M411" s="299"/>
      <c r="N411" s="298"/>
      <c r="O411" s="299"/>
      <c r="P411" s="601">
        <f t="shared" si="123"/>
        <v>0</v>
      </c>
      <c r="Q411" s="602">
        <f t="shared" si="124"/>
        <v>0</v>
      </c>
      <c r="R411" s="603">
        <f t="shared" si="125"/>
        <v>0</v>
      </c>
      <c r="S411" s="604">
        <f t="shared" si="126"/>
        <v>0</v>
      </c>
      <c r="T411" s="298"/>
      <c r="U411" s="299"/>
      <c r="V411" s="601">
        <f t="shared" si="127"/>
        <v>0</v>
      </c>
      <c r="W411" s="605">
        <f t="shared" si="128"/>
        <v>0</v>
      </c>
      <c r="X411" s="305"/>
      <c r="Y411" s="299"/>
      <c r="Z411" s="298"/>
      <c r="AA411" s="299"/>
      <c r="AB411" s="298"/>
      <c r="AC411" s="299"/>
      <c r="AD411" s="599">
        <v>485372.75</v>
      </c>
      <c r="AE411" s="600">
        <v>450981</v>
      </c>
      <c r="AF411" s="601">
        <f t="shared" si="129"/>
        <v>485372.75</v>
      </c>
      <c r="AG411" s="602">
        <f t="shared" si="130"/>
        <v>539.3030555555556</v>
      </c>
      <c r="AH411" s="603">
        <f t="shared" si="131"/>
        <v>450981</v>
      </c>
      <c r="AI411" s="603">
        <f t="shared" si="132"/>
        <v>501.09</v>
      </c>
      <c r="AJ411" s="298"/>
      <c r="AK411" s="299"/>
      <c r="AL411" s="601">
        <f t="shared" si="133"/>
        <v>0</v>
      </c>
      <c r="AM411" s="604">
        <f t="shared" si="134"/>
        <v>0</v>
      </c>
      <c r="AN411" s="306"/>
      <c r="AO411" s="307"/>
      <c r="AP411" s="298"/>
      <c r="AQ411" s="307"/>
      <c r="AR411" s="298"/>
      <c r="AS411" s="307"/>
      <c r="AT411" s="298"/>
      <c r="AU411" s="307"/>
      <c r="AV411" s="601">
        <f t="shared" si="135"/>
        <v>0</v>
      </c>
      <c r="AW411" s="609">
        <f t="shared" si="136"/>
        <v>0</v>
      </c>
      <c r="AX411" s="603">
        <f t="shared" si="137"/>
        <v>0</v>
      </c>
      <c r="AY411" s="610">
        <f t="shared" si="138"/>
        <v>0</v>
      </c>
      <c r="AZ411" s="611">
        <f t="shared" si="139"/>
        <v>539.3030555555556</v>
      </c>
      <c r="BA411" s="603">
        <f t="shared" si="140"/>
        <v>501.09</v>
      </c>
    </row>
    <row r="412" spans="1:53">
      <c r="A412" s="435" t="s">
        <v>164</v>
      </c>
      <c r="B412" s="311" t="s">
        <v>514</v>
      </c>
      <c r="C412" s="438"/>
      <c r="D412" s="312">
        <v>418320</v>
      </c>
      <c r="E412" s="312">
        <v>13</v>
      </c>
      <c r="F412" s="296"/>
      <c r="G412" s="297"/>
      <c r="H412" s="298"/>
      <c r="I412" s="299"/>
      <c r="J412" s="298"/>
      <c r="K412" s="299"/>
      <c r="L412" s="298"/>
      <c r="M412" s="299"/>
      <c r="N412" s="298"/>
      <c r="O412" s="299"/>
      <c r="P412" s="601">
        <f t="shared" si="123"/>
        <v>0</v>
      </c>
      <c r="Q412" s="602">
        <f t="shared" si="124"/>
        <v>0</v>
      </c>
      <c r="R412" s="603">
        <f t="shared" si="125"/>
        <v>0</v>
      </c>
      <c r="S412" s="604">
        <f t="shared" si="126"/>
        <v>0</v>
      </c>
      <c r="T412" s="298"/>
      <c r="U412" s="299"/>
      <c r="V412" s="601">
        <f t="shared" si="127"/>
        <v>0</v>
      </c>
      <c r="W412" s="605">
        <f t="shared" si="128"/>
        <v>0</v>
      </c>
      <c r="X412" s="305"/>
      <c r="Y412" s="299"/>
      <c r="Z412" s="298"/>
      <c r="AA412" s="299"/>
      <c r="AB412" s="298"/>
      <c r="AC412" s="299"/>
      <c r="AD412" s="298">
        <v>551805</v>
      </c>
      <c r="AE412" s="299">
        <v>549738.5</v>
      </c>
      <c r="AF412" s="601">
        <f t="shared" si="129"/>
        <v>551805</v>
      </c>
      <c r="AG412" s="602">
        <f t="shared" si="130"/>
        <v>613.11666666666667</v>
      </c>
      <c r="AH412" s="603">
        <f t="shared" si="131"/>
        <v>549738.5</v>
      </c>
      <c r="AI412" s="603">
        <f t="shared" si="132"/>
        <v>610.82055555555553</v>
      </c>
      <c r="AJ412" s="298"/>
      <c r="AK412" s="299"/>
      <c r="AL412" s="601">
        <f t="shared" si="133"/>
        <v>0</v>
      </c>
      <c r="AM412" s="604">
        <f t="shared" si="134"/>
        <v>0</v>
      </c>
      <c r="AN412" s="306"/>
      <c r="AO412" s="307"/>
      <c r="AP412" s="298"/>
      <c r="AQ412" s="307"/>
      <c r="AR412" s="298"/>
      <c r="AS412" s="307"/>
      <c r="AT412" s="298"/>
      <c r="AU412" s="307"/>
      <c r="AV412" s="601">
        <f t="shared" si="135"/>
        <v>0</v>
      </c>
      <c r="AW412" s="609">
        <f t="shared" si="136"/>
        <v>0</v>
      </c>
      <c r="AX412" s="603">
        <f t="shared" si="137"/>
        <v>0</v>
      </c>
      <c r="AY412" s="610">
        <f t="shared" si="138"/>
        <v>0</v>
      </c>
      <c r="AZ412" s="611">
        <f t="shared" si="139"/>
        <v>613.11666666666667</v>
      </c>
      <c r="BA412" s="603">
        <f t="shared" si="140"/>
        <v>610.82055555555553</v>
      </c>
    </row>
    <row r="413" spans="1:53">
      <c r="A413" s="435" t="s">
        <v>164</v>
      </c>
      <c r="B413" s="311" t="s">
        <v>515</v>
      </c>
      <c r="C413" s="438"/>
      <c r="D413" s="312">
        <v>431017</v>
      </c>
      <c r="E413" s="312">
        <v>13</v>
      </c>
      <c r="F413" s="296"/>
      <c r="G413" s="297"/>
      <c r="H413" s="298"/>
      <c r="I413" s="299"/>
      <c r="J413" s="298"/>
      <c r="K413" s="299"/>
      <c r="L413" s="298"/>
      <c r="M413" s="299"/>
      <c r="N413" s="298"/>
      <c r="O413" s="299"/>
      <c r="P413" s="601">
        <f t="shared" si="123"/>
        <v>0</v>
      </c>
      <c r="Q413" s="602">
        <f t="shared" si="124"/>
        <v>0</v>
      </c>
      <c r="R413" s="603">
        <f t="shared" si="125"/>
        <v>0</v>
      </c>
      <c r="S413" s="604">
        <f t="shared" si="126"/>
        <v>0</v>
      </c>
      <c r="T413" s="298"/>
      <c r="U413" s="299"/>
      <c r="V413" s="601">
        <f t="shared" si="127"/>
        <v>0</v>
      </c>
      <c r="W413" s="605">
        <f t="shared" si="128"/>
        <v>0</v>
      </c>
      <c r="X413" s="305"/>
      <c r="Y413" s="299"/>
      <c r="Z413" s="298"/>
      <c r="AA413" s="299"/>
      <c r="AB413" s="298"/>
      <c r="AC413" s="299"/>
      <c r="AD413" s="298">
        <v>489553.5</v>
      </c>
      <c r="AE413" s="299">
        <v>484171</v>
      </c>
      <c r="AF413" s="601">
        <f t="shared" si="129"/>
        <v>489553.5</v>
      </c>
      <c r="AG413" s="602">
        <f t="shared" si="130"/>
        <v>543.94833333333338</v>
      </c>
      <c r="AH413" s="603">
        <f t="shared" si="131"/>
        <v>484171</v>
      </c>
      <c r="AI413" s="603">
        <f t="shared" si="132"/>
        <v>537.96777777777777</v>
      </c>
      <c r="AJ413" s="298"/>
      <c r="AK413" s="299"/>
      <c r="AL413" s="601">
        <f t="shared" si="133"/>
        <v>0</v>
      </c>
      <c r="AM413" s="604">
        <f t="shared" si="134"/>
        <v>0</v>
      </c>
      <c r="AN413" s="306"/>
      <c r="AO413" s="307"/>
      <c r="AP413" s="298"/>
      <c r="AQ413" s="307"/>
      <c r="AR413" s="298"/>
      <c r="AS413" s="307"/>
      <c r="AT413" s="298"/>
      <c r="AU413" s="307"/>
      <c r="AV413" s="601">
        <f t="shared" si="135"/>
        <v>0</v>
      </c>
      <c r="AW413" s="609">
        <f t="shared" si="136"/>
        <v>0</v>
      </c>
      <c r="AX413" s="603">
        <f t="shared" si="137"/>
        <v>0</v>
      </c>
      <c r="AY413" s="610">
        <f t="shared" si="138"/>
        <v>0</v>
      </c>
      <c r="AZ413" s="611">
        <f t="shared" si="139"/>
        <v>543.94833333333338</v>
      </c>
      <c r="BA413" s="603">
        <f t="shared" si="140"/>
        <v>537.96777777777777</v>
      </c>
    </row>
    <row r="414" spans="1:53">
      <c r="A414" s="435" t="s">
        <v>164</v>
      </c>
      <c r="B414" s="436" t="s">
        <v>516</v>
      </c>
      <c r="C414" s="437"/>
      <c r="D414" s="312">
        <v>248606</v>
      </c>
      <c r="E414" s="312">
        <v>13</v>
      </c>
      <c r="F414" s="296"/>
      <c r="G414" s="297"/>
      <c r="H414" s="298"/>
      <c r="I414" s="299"/>
      <c r="J414" s="298"/>
      <c r="K414" s="299"/>
      <c r="L414" s="298"/>
      <c r="M414" s="299"/>
      <c r="N414" s="298"/>
      <c r="O414" s="299"/>
      <c r="P414" s="601">
        <f t="shared" si="123"/>
        <v>0</v>
      </c>
      <c r="Q414" s="602">
        <f t="shared" si="124"/>
        <v>0</v>
      </c>
      <c r="R414" s="603">
        <f t="shared" si="125"/>
        <v>0</v>
      </c>
      <c r="S414" s="604">
        <f t="shared" si="126"/>
        <v>0</v>
      </c>
      <c r="T414" s="298"/>
      <c r="U414" s="299"/>
      <c r="V414" s="601">
        <f t="shared" si="127"/>
        <v>0</v>
      </c>
      <c r="W414" s="605">
        <f t="shared" si="128"/>
        <v>0</v>
      </c>
      <c r="X414" s="305"/>
      <c r="Y414" s="299"/>
      <c r="Z414" s="298"/>
      <c r="AA414" s="299"/>
      <c r="AB414" s="298"/>
      <c r="AC414" s="299"/>
      <c r="AD414" s="298">
        <v>898923.95</v>
      </c>
      <c r="AE414" s="299">
        <v>950240.01</v>
      </c>
      <c r="AF414" s="601">
        <f t="shared" si="129"/>
        <v>898923.95</v>
      </c>
      <c r="AG414" s="602">
        <f t="shared" si="130"/>
        <v>998.80438888888887</v>
      </c>
      <c r="AH414" s="603">
        <f t="shared" si="131"/>
        <v>950240.01</v>
      </c>
      <c r="AI414" s="603">
        <f t="shared" si="132"/>
        <v>1055.8222333333333</v>
      </c>
      <c r="AJ414" s="298"/>
      <c r="AK414" s="299"/>
      <c r="AL414" s="601">
        <f t="shared" si="133"/>
        <v>0</v>
      </c>
      <c r="AM414" s="604">
        <f t="shared" si="134"/>
        <v>0</v>
      </c>
      <c r="AN414" s="306"/>
      <c r="AO414" s="307"/>
      <c r="AP414" s="298"/>
      <c r="AQ414" s="307"/>
      <c r="AR414" s="298"/>
      <c r="AS414" s="307"/>
      <c r="AT414" s="298"/>
      <c r="AU414" s="307"/>
      <c r="AV414" s="601">
        <f t="shared" si="135"/>
        <v>0</v>
      </c>
      <c r="AW414" s="609">
        <f t="shared" si="136"/>
        <v>0</v>
      </c>
      <c r="AX414" s="603">
        <f t="shared" si="137"/>
        <v>0</v>
      </c>
      <c r="AY414" s="610">
        <f t="shared" si="138"/>
        <v>0</v>
      </c>
      <c r="AZ414" s="611">
        <f t="shared" si="139"/>
        <v>998.80438888888887</v>
      </c>
      <c r="BA414" s="603">
        <f t="shared" si="140"/>
        <v>1055.8222333333333</v>
      </c>
    </row>
    <row r="415" spans="1:53">
      <c r="A415" s="435" t="s">
        <v>164</v>
      </c>
      <c r="B415" s="311" t="s">
        <v>517</v>
      </c>
      <c r="C415" s="438"/>
      <c r="D415" s="312">
        <v>420459</v>
      </c>
      <c r="E415" s="312">
        <v>13</v>
      </c>
      <c r="F415" s="296"/>
      <c r="G415" s="297"/>
      <c r="H415" s="298"/>
      <c r="I415" s="299"/>
      <c r="J415" s="298"/>
      <c r="K415" s="299"/>
      <c r="L415" s="298"/>
      <c r="M415" s="299"/>
      <c r="N415" s="298"/>
      <c r="O415" s="299"/>
      <c r="P415" s="601">
        <f t="shared" si="123"/>
        <v>0</v>
      </c>
      <c r="Q415" s="602">
        <f t="shared" si="124"/>
        <v>0</v>
      </c>
      <c r="R415" s="603">
        <f t="shared" si="125"/>
        <v>0</v>
      </c>
      <c r="S415" s="604">
        <f t="shared" si="126"/>
        <v>0</v>
      </c>
      <c r="T415" s="298"/>
      <c r="U415" s="299"/>
      <c r="V415" s="601">
        <f t="shared" si="127"/>
        <v>0</v>
      </c>
      <c r="W415" s="605">
        <f t="shared" si="128"/>
        <v>0</v>
      </c>
      <c r="X415" s="305"/>
      <c r="Y415" s="299"/>
      <c r="Z415" s="298"/>
      <c r="AA415" s="299"/>
      <c r="AB415" s="298"/>
      <c r="AC415" s="299"/>
      <c r="AD415" s="298">
        <v>332171.5</v>
      </c>
      <c r="AE415" s="299">
        <v>295356.5</v>
      </c>
      <c r="AF415" s="601">
        <f t="shared" si="129"/>
        <v>332171.5</v>
      </c>
      <c r="AG415" s="602">
        <f t="shared" si="130"/>
        <v>369.07944444444445</v>
      </c>
      <c r="AH415" s="603">
        <f t="shared" si="131"/>
        <v>295356.5</v>
      </c>
      <c r="AI415" s="603">
        <f t="shared" si="132"/>
        <v>328.17388888888888</v>
      </c>
      <c r="AJ415" s="298"/>
      <c r="AK415" s="299"/>
      <c r="AL415" s="601">
        <f t="shared" si="133"/>
        <v>0</v>
      </c>
      <c r="AM415" s="604">
        <f t="shared" si="134"/>
        <v>0</v>
      </c>
      <c r="AN415" s="306"/>
      <c r="AO415" s="307"/>
      <c r="AP415" s="298"/>
      <c r="AQ415" s="307"/>
      <c r="AR415" s="298"/>
      <c r="AS415" s="307"/>
      <c r="AT415" s="298"/>
      <c r="AU415" s="307"/>
      <c r="AV415" s="601">
        <f t="shared" si="135"/>
        <v>0</v>
      </c>
      <c r="AW415" s="609">
        <f t="shared" si="136"/>
        <v>0</v>
      </c>
      <c r="AX415" s="603">
        <f t="shared" si="137"/>
        <v>0</v>
      </c>
      <c r="AY415" s="610">
        <f t="shared" si="138"/>
        <v>0</v>
      </c>
      <c r="AZ415" s="611">
        <f t="shared" si="139"/>
        <v>369.07944444444445</v>
      </c>
      <c r="BA415" s="603">
        <f t="shared" si="140"/>
        <v>328.17388888888888</v>
      </c>
    </row>
    <row r="416" spans="1:53">
      <c r="A416" s="435" t="s">
        <v>164</v>
      </c>
      <c r="B416" s="311" t="s">
        <v>533</v>
      </c>
      <c r="C416" s="441" t="s">
        <v>726</v>
      </c>
      <c r="D416" s="442" t="s">
        <v>534</v>
      </c>
      <c r="E416" s="490">
        <v>13</v>
      </c>
      <c r="F416" s="296"/>
      <c r="G416" s="297"/>
      <c r="H416" s="298"/>
      <c r="I416" s="299"/>
      <c r="J416" s="298"/>
      <c r="K416" s="299"/>
      <c r="L416" s="298"/>
      <c r="M416" s="299"/>
      <c r="N416" s="298"/>
      <c r="O416" s="299"/>
      <c r="P416" s="601">
        <f t="shared" si="123"/>
        <v>0</v>
      </c>
      <c r="Q416" s="602">
        <f t="shared" si="124"/>
        <v>0</v>
      </c>
      <c r="R416" s="603">
        <f t="shared" si="125"/>
        <v>0</v>
      </c>
      <c r="S416" s="604">
        <f t="shared" si="126"/>
        <v>0</v>
      </c>
      <c r="T416" s="298"/>
      <c r="U416" s="299"/>
      <c r="V416" s="601">
        <f t="shared" si="127"/>
        <v>0</v>
      </c>
      <c r="W416" s="605">
        <f t="shared" si="128"/>
        <v>0</v>
      </c>
      <c r="X416" s="305"/>
      <c r="Y416" s="299"/>
      <c r="Z416" s="298"/>
      <c r="AA416" s="299"/>
      <c r="AB416" s="298"/>
      <c r="AC416" s="299"/>
      <c r="AD416" s="298">
        <v>89669</v>
      </c>
      <c r="AE416" s="299">
        <v>97753</v>
      </c>
      <c r="AF416" s="601">
        <f t="shared" si="129"/>
        <v>89669</v>
      </c>
      <c r="AG416" s="602">
        <f t="shared" si="130"/>
        <v>99.632222222222225</v>
      </c>
      <c r="AH416" s="603">
        <f t="shared" si="131"/>
        <v>97753</v>
      </c>
      <c r="AI416" s="603">
        <f t="shared" si="132"/>
        <v>108.61444444444444</v>
      </c>
      <c r="AJ416" s="298"/>
      <c r="AK416" s="299"/>
      <c r="AL416" s="601">
        <f t="shared" si="133"/>
        <v>0</v>
      </c>
      <c r="AM416" s="604">
        <f t="shared" si="134"/>
        <v>0</v>
      </c>
      <c r="AN416" s="306"/>
      <c r="AO416" s="307"/>
      <c r="AP416" s="298"/>
      <c r="AQ416" s="307"/>
      <c r="AR416" s="298"/>
      <c r="AS416" s="307"/>
      <c r="AT416" s="298"/>
      <c r="AU416" s="307"/>
      <c r="AV416" s="601">
        <f t="shared" si="135"/>
        <v>0</v>
      </c>
      <c r="AW416" s="609">
        <f t="shared" si="136"/>
        <v>0</v>
      </c>
      <c r="AX416" s="603">
        <f t="shared" si="137"/>
        <v>0</v>
      </c>
      <c r="AY416" s="610">
        <f t="shared" si="138"/>
        <v>0</v>
      </c>
      <c r="AZ416" s="611">
        <f t="shared" si="139"/>
        <v>99.632222222222225</v>
      </c>
      <c r="BA416" s="603">
        <f t="shared" si="140"/>
        <v>108.61444444444444</v>
      </c>
    </row>
    <row r="417" spans="1:53">
      <c r="A417" s="435" t="s">
        <v>164</v>
      </c>
      <c r="B417" s="311" t="s">
        <v>518</v>
      </c>
      <c r="C417" s="438"/>
      <c r="D417" s="312">
        <v>432074</v>
      </c>
      <c r="E417" s="312">
        <v>13</v>
      </c>
      <c r="F417" s="296"/>
      <c r="G417" s="297"/>
      <c r="H417" s="298"/>
      <c r="I417" s="299"/>
      <c r="J417" s="298"/>
      <c r="K417" s="299"/>
      <c r="L417" s="298"/>
      <c r="M417" s="299"/>
      <c r="N417" s="298"/>
      <c r="O417" s="299"/>
      <c r="P417" s="601">
        <f t="shared" si="123"/>
        <v>0</v>
      </c>
      <c r="Q417" s="602">
        <f t="shared" si="124"/>
        <v>0</v>
      </c>
      <c r="R417" s="603">
        <f t="shared" si="125"/>
        <v>0</v>
      </c>
      <c r="S417" s="604">
        <f t="shared" si="126"/>
        <v>0</v>
      </c>
      <c r="T417" s="298"/>
      <c r="U417" s="299"/>
      <c r="V417" s="601">
        <f t="shared" si="127"/>
        <v>0</v>
      </c>
      <c r="W417" s="605">
        <f t="shared" si="128"/>
        <v>0</v>
      </c>
      <c r="X417" s="305"/>
      <c r="Y417" s="299"/>
      <c r="Z417" s="298"/>
      <c r="AA417" s="299"/>
      <c r="AB417" s="298"/>
      <c r="AC417" s="299"/>
      <c r="AD417" s="298">
        <v>185825.9</v>
      </c>
      <c r="AE417" s="299">
        <v>161927</v>
      </c>
      <c r="AF417" s="601">
        <f t="shared" si="129"/>
        <v>185825.9</v>
      </c>
      <c r="AG417" s="602">
        <f t="shared" si="130"/>
        <v>206.4732222222222</v>
      </c>
      <c r="AH417" s="603">
        <f t="shared" si="131"/>
        <v>161927</v>
      </c>
      <c r="AI417" s="603">
        <f t="shared" si="132"/>
        <v>179.91888888888889</v>
      </c>
      <c r="AJ417" s="298"/>
      <c r="AK417" s="299"/>
      <c r="AL417" s="601">
        <f t="shared" si="133"/>
        <v>0</v>
      </c>
      <c r="AM417" s="604">
        <f t="shared" si="134"/>
        <v>0</v>
      </c>
      <c r="AN417" s="306"/>
      <c r="AO417" s="307"/>
      <c r="AP417" s="298"/>
      <c r="AQ417" s="307"/>
      <c r="AR417" s="298"/>
      <c r="AS417" s="307"/>
      <c r="AT417" s="298"/>
      <c r="AU417" s="307"/>
      <c r="AV417" s="601">
        <f t="shared" si="135"/>
        <v>0</v>
      </c>
      <c r="AW417" s="609">
        <f t="shared" si="136"/>
        <v>0</v>
      </c>
      <c r="AX417" s="603">
        <f t="shared" si="137"/>
        <v>0</v>
      </c>
      <c r="AY417" s="610">
        <f t="shared" si="138"/>
        <v>0</v>
      </c>
      <c r="AZ417" s="611">
        <f t="shared" si="139"/>
        <v>206.4732222222222</v>
      </c>
      <c r="BA417" s="603">
        <f t="shared" si="140"/>
        <v>179.91888888888889</v>
      </c>
    </row>
    <row r="418" spans="1:53">
      <c r="A418" s="435" t="s">
        <v>164</v>
      </c>
      <c r="B418" s="311" t="s">
        <v>519</v>
      </c>
      <c r="C418" s="438"/>
      <c r="D418" s="312">
        <v>418339</v>
      </c>
      <c r="E418" s="312">
        <v>13</v>
      </c>
      <c r="F418" s="296"/>
      <c r="G418" s="297"/>
      <c r="H418" s="298"/>
      <c r="I418" s="299"/>
      <c r="J418" s="298"/>
      <c r="K418" s="299"/>
      <c r="L418" s="298"/>
      <c r="M418" s="299"/>
      <c r="N418" s="298"/>
      <c r="O418" s="299"/>
      <c r="P418" s="601">
        <f t="shared" si="123"/>
        <v>0</v>
      </c>
      <c r="Q418" s="602">
        <f t="shared" si="124"/>
        <v>0</v>
      </c>
      <c r="R418" s="603">
        <f t="shared" si="125"/>
        <v>0</v>
      </c>
      <c r="S418" s="604">
        <f t="shared" si="126"/>
        <v>0</v>
      </c>
      <c r="T418" s="298"/>
      <c r="U418" s="299"/>
      <c r="V418" s="601">
        <f t="shared" si="127"/>
        <v>0</v>
      </c>
      <c r="W418" s="605">
        <f t="shared" si="128"/>
        <v>0</v>
      </c>
      <c r="X418" s="305"/>
      <c r="Y418" s="299"/>
      <c r="Z418" s="298"/>
      <c r="AA418" s="299"/>
      <c r="AB418" s="298"/>
      <c r="AC418" s="299"/>
      <c r="AD418" s="298">
        <v>341716.49</v>
      </c>
      <c r="AE418" s="299">
        <v>277570</v>
      </c>
      <c r="AF418" s="601">
        <f t="shared" si="129"/>
        <v>341716.49</v>
      </c>
      <c r="AG418" s="602">
        <f t="shared" si="130"/>
        <v>379.68498888888888</v>
      </c>
      <c r="AH418" s="603">
        <f t="shared" si="131"/>
        <v>277570</v>
      </c>
      <c r="AI418" s="603">
        <f t="shared" si="132"/>
        <v>308.4111111111111</v>
      </c>
      <c r="AJ418" s="298"/>
      <c r="AK418" s="299"/>
      <c r="AL418" s="601">
        <f t="shared" si="133"/>
        <v>0</v>
      </c>
      <c r="AM418" s="604">
        <f t="shared" si="134"/>
        <v>0</v>
      </c>
      <c r="AN418" s="306"/>
      <c r="AO418" s="307"/>
      <c r="AP418" s="298"/>
      <c r="AQ418" s="307"/>
      <c r="AR418" s="298"/>
      <c r="AS418" s="307"/>
      <c r="AT418" s="298"/>
      <c r="AU418" s="307"/>
      <c r="AV418" s="601">
        <f t="shared" si="135"/>
        <v>0</v>
      </c>
      <c r="AW418" s="609">
        <f t="shared" si="136"/>
        <v>0</v>
      </c>
      <c r="AX418" s="603">
        <f t="shared" si="137"/>
        <v>0</v>
      </c>
      <c r="AY418" s="610">
        <f t="shared" si="138"/>
        <v>0</v>
      </c>
      <c r="AZ418" s="611">
        <f t="shared" si="139"/>
        <v>379.68498888888888</v>
      </c>
      <c r="BA418" s="603">
        <f t="shared" si="140"/>
        <v>308.4111111111111</v>
      </c>
    </row>
    <row r="419" spans="1:53">
      <c r="A419" s="435" t="s">
        <v>164</v>
      </c>
      <c r="B419" s="311" t="s">
        <v>520</v>
      </c>
      <c r="C419" s="438"/>
      <c r="D419" s="312">
        <v>366623</v>
      </c>
      <c r="E419" s="312">
        <v>13</v>
      </c>
      <c r="F419" s="296"/>
      <c r="G419" s="297"/>
      <c r="H419" s="298"/>
      <c r="I419" s="299"/>
      <c r="J419" s="298"/>
      <c r="K419" s="299"/>
      <c r="L419" s="298"/>
      <c r="M419" s="299"/>
      <c r="N419" s="298"/>
      <c r="O419" s="299"/>
      <c r="P419" s="601">
        <f t="shared" si="123"/>
        <v>0</v>
      </c>
      <c r="Q419" s="602">
        <f t="shared" si="124"/>
        <v>0</v>
      </c>
      <c r="R419" s="603">
        <f t="shared" si="125"/>
        <v>0</v>
      </c>
      <c r="S419" s="604">
        <f t="shared" si="126"/>
        <v>0</v>
      </c>
      <c r="T419" s="298"/>
      <c r="U419" s="299"/>
      <c r="V419" s="601">
        <f t="shared" si="127"/>
        <v>0</v>
      </c>
      <c r="W419" s="605">
        <f t="shared" si="128"/>
        <v>0</v>
      </c>
      <c r="X419" s="305"/>
      <c r="Y419" s="299"/>
      <c r="Z419" s="298"/>
      <c r="AA419" s="299"/>
      <c r="AB419" s="298"/>
      <c r="AC419" s="299"/>
      <c r="AD419" s="298">
        <v>91037.75</v>
      </c>
      <c r="AE419" s="299">
        <v>92776.62</v>
      </c>
      <c r="AF419" s="601">
        <f t="shared" si="129"/>
        <v>91037.75</v>
      </c>
      <c r="AG419" s="602">
        <f t="shared" si="130"/>
        <v>101.15305555555555</v>
      </c>
      <c r="AH419" s="603">
        <f t="shared" si="131"/>
        <v>92776.62</v>
      </c>
      <c r="AI419" s="603">
        <f t="shared" si="132"/>
        <v>103.08513333333333</v>
      </c>
      <c r="AJ419" s="298"/>
      <c r="AK419" s="299"/>
      <c r="AL419" s="601">
        <f t="shared" si="133"/>
        <v>0</v>
      </c>
      <c r="AM419" s="604">
        <f t="shared" si="134"/>
        <v>0</v>
      </c>
      <c r="AN419" s="306"/>
      <c r="AO419" s="307"/>
      <c r="AP419" s="298"/>
      <c r="AQ419" s="307"/>
      <c r="AR419" s="298"/>
      <c r="AS419" s="307"/>
      <c r="AT419" s="298"/>
      <c r="AU419" s="307"/>
      <c r="AV419" s="601">
        <f t="shared" si="135"/>
        <v>0</v>
      </c>
      <c r="AW419" s="609">
        <f t="shared" si="136"/>
        <v>0</v>
      </c>
      <c r="AX419" s="603">
        <f t="shared" si="137"/>
        <v>0</v>
      </c>
      <c r="AY419" s="610">
        <f t="shared" si="138"/>
        <v>0</v>
      </c>
      <c r="AZ419" s="611">
        <f t="shared" si="139"/>
        <v>101.15305555555555</v>
      </c>
      <c r="BA419" s="603">
        <f t="shared" si="140"/>
        <v>103.08513333333333</v>
      </c>
    </row>
    <row r="420" spans="1:53">
      <c r="A420" s="435" t="s">
        <v>164</v>
      </c>
      <c r="B420" s="311" t="s">
        <v>521</v>
      </c>
      <c r="C420" s="438"/>
      <c r="D420" s="312">
        <v>407601</v>
      </c>
      <c r="E420" s="312">
        <v>13</v>
      </c>
      <c r="F420" s="296"/>
      <c r="G420" s="297"/>
      <c r="H420" s="298"/>
      <c r="I420" s="299"/>
      <c r="J420" s="298"/>
      <c r="K420" s="299"/>
      <c r="L420" s="298"/>
      <c r="M420" s="299"/>
      <c r="N420" s="298"/>
      <c r="O420" s="299"/>
      <c r="P420" s="601">
        <f t="shared" si="123"/>
        <v>0</v>
      </c>
      <c r="Q420" s="602">
        <f t="shared" si="124"/>
        <v>0</v>
      </c>
      <c r="R420" s="603">
        <f t="shared" si="125"/>
        <v>0</v>
      </c>
      <c r="S420" s="604">
        <f t="shared" si="126"/>
        <v>0</v>
      </c>
      <c r="T420" s="298"/>
      <c r="U420" s="299"/>
      <c r="V420" s="601">
        <f t="shared" si="127"/>
        <v>0</v>
      </c>
      <c r="W420" s="605">
        <f t="shared" si="128"/>
        <v>0</v>
      </c>
      <c r="X420" s="305"/>
      <c r="Y420" s="299"/>
      <c r="Z420" s="298"/>
      <c r="AA420" s="299"/>
      <c r="AB420" s="298"/>
      <c r="AC420" s="299"/>
      <c r="AD420" s="439">
        <v>89350</v>
      </c>
      <c r="AE420" s="440">
        <v>85314.25</v>
      </c>
      <c r="AF420" s="601">
        <f t="shared" si="129"/>
        <v>89350</v>
      </c>
      <c r="AG420" s="602">
        <f t="shared" si="130"/>
        <v>99.277777777777771</v>
      </c>
      <c r="AH420" s="603">
        <f t="shared" si="131"/>
        <v>85314.25</v>
      </c>
      <c r="AI420" s="603">
        <f t="shared" si="132"/>
        <v>94.793611111111105</v>
      </c>
      <c r="AJ420" s="298"/>
      <c r="AK420" s="299"/>
      <c r="AL420" s="601">
        <f t="shared" si="133"/>
        <v>0</v>
      </c>
      <c r="AM420" s="604">
        <f t="shared" si="134"/>
        <v>0</v>
      </c>
      <c r="AN420" s="306"/>
      <c r="AO420" s="307"/>
      <c r="AP420" s="298"/>
      <c r="AQ420" s="307"/>
      <c r="AR420" s="298"/>
      <c r="AS420" s="307"/>
      <c r="AT420" s="298"/>
      <c r="AU420" s="307"/>
      <c r="AV420" s="601">
        <f t="shared" si="135"/>
        <v>0</v>
      </c>
      <c r="AW420" s="609">
        <f t="shared" si="136"/>
        <v>0</v>
      </c>
      <c r="AX420" s="603">
        <f t="shared" si="137"/>
        <v>0</v>
      </c>
      <c r="AY420" s="610">
        <f t="shared" si="138"/>
        <v>0</v>
      </c>
      <c r="AZ420" s="611">
        <f t="shared" si="139"/>
        <v>99.277777777777771</v>
      </c>
      <c r="BA420" s="603">
        <f t="shared" si="140"/>
        <v>94.793611111111105</v>
      </c>
    </row>
    <row r="421" spans="1:53">
      <c r="A421" s="435" t="s">
        <v>164</v>
      </c>
      <c r="B421" s="311" t="s">
        <v>522</v>
      </c>
      <c r="C421" s="438"/>
      <c r="D421" s="312">
        <v>364627</v>
      </c>
      <c r="E421" s="312">
        <v>13</v>
      </c>
      <c r="F421" s="296"/>
      <c r="G421" s="297"/>
      <c r="H421" s="298"/>
      <c r="I421" s="299"/>
      <c r="J421" s="298"/>
      <c r="K421" s="299"/>
      <c r="L421" s="298"/>
      <c r="M421" s="299"/>
      <c r="N421" s="298"/>
      <c r="O421" s="299"/>
      <c r="P421" s="601">
        <f t="shared" si="123"/>
        <v>0</v>
      </c>
      <c r="Q421" s="602">
        <f t="shared" si="124"/>
        <v>0</v>
      </c>
      <c r="R421" s="603">
        <f t="shared" si="125"/>
        <v>0</v>
      </c>
      <c r="S421" s="604">
        <f t="shared" si="126"/>
        <v>0</v>
      </c>
      <c r="T421" s="298"/>
      <c r="U421" s="299"/>
      <c r="V421" s="601">
        <f t="shared" si="127"/>
        <v>0</v>
      </c>
      <c r="W421" s="605">
        <f t="shared" si="128"/>
        <v>0</v>
      </c>
      <c r="X421" s="305"/>
      <c r="Y421" s="299"/>
      <c r="Z421" s="298"/>
      <c r="AA421" s="299"/>
      <c r="AB421" s="298"/>
      <c r="AC421" s="299"/>
      <c r="AD421" s="439">
        <v>319049</v>
      </c>
      <c r="AE421" s="440">
        <v>299488.75</v>
      </c>
      <c r="AF421" s="601">
        <f t="shared" si="129"/>
        <v>319049</v>
      </c>
      <c r="AG421" s="602">
        <f t="shared" si="130"/>
        <v>354.49888888888887</v>
      </c>
      <c r="AH421" s="603">
        <f t="shared" si="131"/>
        <v>299488.75</v>
      </c>
      <c r="AI421" s="603">
        <f t="shared" si="132"/>
        <v>332.76527777777778</v>
      </c>
      <c r="AJ421" s="298"/>
      <c r="AK421" s="299"/>
      <c r="AL421" s="601">
        <f t="shared" si="133"/>
        <v>0</v>
      </c>
      <c r="AM421" s="604">
        <f t="shared" si="134"/>
        <v>0</v>
      </c>
      <c r="AN421" s="306"/>
      <c r="AO421" s="307"/>
      <c r="AP421" s="298"/>
      <c r="AQ421" s="307"/>
      <c r="AR421" s="298"/>
      <c r="AS421" s="307"/>
      <c r="AT421" s="298"/>
      <c r="AU421" s="307"/>
      <c r="AV421" s="601">
        <f t="shared" si="135"/>
        <v>0</v>
      </c>
      <c r="AW421" s="609">
        <f t="shared" si="136"/>
        <v>0</v>
      </c>
      <c r="AX421" s="603">
        <f t="shared" si="137"/>
        <v>0</v>
      </c>
      <c r="AY421" s="610">
        <f t="shared" si="138"/>
        <v>0</v>
      </c>
      <c r="AZ421" s="611">
        <f t="shared" si="139"/>
        <v>354.49888888888887</v>
      </c>
      <c r="BA421" s="603">
        <f t="shared" si="140"/>
        <v>332.76527777777778</v>
      </c>
    </row>
    <row r="422" spans="1:53">
      <c r="A422" s="435" t="s">
        <v>164</v>
      </c>
      <c r="B422" s="311" t="s">
        <v>523</v>
      </c>
      <c r="C422" s="438"/>
      <c r="D422" s="312">
        <v>206905</v>
      </c>
      <c r="E422" s="312">
        <v>13</v>
      </c>
      <c r="F422" s="296"/>
      <c r="G422" s="297"/>
      <c r="H422" s="298"/>
      <c r="I422" s="299"/>
      <c r="J422" s="298"/>
      <c r="K422" s="299"/>
      <c r="L422" s="298"/>
      <c r="M422" s="299"/>
      <c r="N422" s="298"/>
      <c r="O422" s="299"/>
      <c r="P422" s="601">
        <f t="shared" si="123"/>
        <v>0</v>
      </c>
      <c r="Q422" s="602">
        <f t="shared" si="124"/>
        <v>0</v>
      </c>
      <c r="R422" s="603">
        <f t="shared" si="125"/>
        <v>0</v>
      </c>
      <c r="S422" s="604">
        <f t="shared" si="126"/>
        <v>0</v>
      </c>
      <c r="T422" s="298"/>
      <c r="U422" s="299"/>
      <c r="V422" s="601">
        <f t="shared" si="127"/>
        <v>0</v>
      </c>
      <c r="W422" s="605">
        <f t="shared" si="128"/>
        <v>0</v>
      </c>
      <c r="X422" s="305"/>
      <c r="Y422" s="299"/>
      <c r="Z422" s="298"/>
      <c r="AA422" s="299"/>
      <c r="AB422" s="298"/>
      <c r="AC422" s="299"/>
      <c r="AD422" s="439">
        <v>245485.5</v>
      </c>
      <c r="AE422" s="440">
        <v>201922</v>
      </c>
      <c r="AF422" s="601">
        <f t="shared" si="129"/>
        <v>245485.5</v>
      </c>
      <c r="AG422" s="602">
        <f t="shared" si="130"/>
        <v>272.76166666666666</v>
      </c>
      <c r="AH422" s="603">
        <f t="shared" si="131"/>
        <v>201922</v>
      </c>
      <c r="AI422" s="603">
        <f t="shared" si="132"/>
        <v>224.35777777777778</v>
      </c>
      <c r="AJ422" s="298"/>
      <c r="AK422" s="299"/>
      <c r="AL422" s="601">
        <f t="shared" si="133"/>
        <v>0</v>
      </c>
      <c r="AM422" s="604">
        <f t="shared" si="134"/>
        <v>0</v>
      </c>
      <c r="AN422" s="306"/>
      <c r="AO422" s="307"/>
      <c r="AP422" s="298"/>
      <c r="AQ422" s="307"/>
      <c r="AR422" s="298"/>
      <c r="AS422" s="307"/>
      <c r="AT422" s="298"/>
      <c r="AU422" s="307"/>
      <c r="AV422" s="601">
        <f t="shared" si="135"/>
        <v>0</v>
      </c>
      <c r="AW422" s="609">
        <f t="shared" si="136"/>
        <v>0</v>
      </c>
      <c r="AX422" s="603">
        <f t="shared" si="137"/>
        <v>0</v>
      </c>
      <c r="AY422" s="610">
        <f t="shared" si="138"/>
        <v>0</v>
      </c>
      <c r="AZ422" s="611">
        <f t="shared" si="139"/>
        <v>272.76166666666666</v>
      </c>
      <c r="BA422" s="603">
        <f t="shared" si="140"/>
        <v>224.35777777777778</v>
      </c>
    </row>
    <row r="423" spans="1:53">
      <c r="A423" s="435" t="s">
        <v>164</v>
      </c>
      <c r="B423" s="311" t="s">
        <v>524</v>
      </c>
      <c r="C423" s="438"/>
      <c r="D423" s="312">
        <v>250993</v>
      </c>
      <c r="E423" s="312">
        <v>13</v>
      </c>
      <c r="F423" s="296"/>
      <c r="G423" s="297"/>
      <c r="H423" s="298"/>
      <c r="I423" s="299"/>
      <c r="J423" s="298"/>
      <c r="K423" s="299"/>
      <c r="L423" s="298"/>
      <c r="M423" s="299"/>
      <c r="N423" s="298"/>
      <c r="O423" s="299"/>
      <c r="P423" s="601">
        <f t="shared" si="123"/>
        <v>0</v>
      </c>
      <c r="Q423" s="602">
        <f t="shared" si="124"/>
        <v>0</v>
      </c>
      <c r="R423" s="603">
        <f t="shared" si="125"/>
        <v>0</v>
      </c>
      <c r="S423" s="604">
        <f t="shared" si="126"/>
        <v>0</v>
      </c>
      <c r="T423" s="298"/>
      <c r="U423" s="299"/>
      <c r="V423" s="601">
        <f t="shared" si="127"/>
        <v>0</v>
      </c>
      <c r="W423" s="605">
        <f t="shared" si="128"/>
        <v>0</v>
      </c>
      <c r="X423" s="305"/>
      <c r="Y423" s="299"/>
      <c r="Z423" s="298"/>
      <c r="AA423" s="299"/>
      <c r="AB423" s="298"/>
      <c r="AC423" s="299"/>
      <c r="AD423" s="439">
        <v>326031.05</v>
      </c>
      <c r="AE423" s="440">
        <v>312411.40999999997</v>
      </c>
      <c r="AF423" s="601">
        <f t="shared" si="129"/>
        <v>326031.05</v>
      </c>
      <c r="AG423" s="602">
        <f t="shared" si="130"/>
        <v>362.25672222222221</v>
      </c>
      <c r="AH423" s="603">
        <f t="shared" si="131"/>
        <v>312411.40999999997</v>
      </c>
      <c r="AI423" s="603">
        <f t="shared" si="132"/>
        <v>347.12378888888884</v>
      </c>
      <c r="AJ423" s="298"/>
      <c r="AK423" s="299"/>
      <c r="AL423" s="601">
        <f t="shared" si="133"/>
        <v>0</v>
      </c>
      <c r="AM423" s="604">
        <f t="shared" si="134"/>
        <v>0</v>
      </c>
      <c r="AN423" s="306"/>
      <c r="AO423" s="307"/>
      <c r="AP423" s="298"/>
      <c r="AQ423" s="307"/>
      <c r="AR423" s="298"/>
      <c r="AS423" s="307"/>
      <c r="AT423" s="298"/>
      <c r="AU423" s="307"/>
      <c r="AV423" s="601">
        <f t="shared" si="135"/>
        <v>0</v>
      </c>
      <c r="AW423" s="609">
        <f t="shared" si="136"/>
        <v>0</v>
      </c>
      <c r="AX423" s="603">
        <f t="shared" si="137"/>
        <v>0</v>
      </c>
      <c r="AY423" s="610">
        <f t="shared" si="138"/>
        <v>0</v>
      </c>
      <c r="AZ423" s="611">
        <f t="shared" si="139"/>
        <v>362.25672222222221</v>
      </c>
      <c r="BA423" s="603">
        <f t="shared" si="140"/>
        <v>347.12378888888884</v>
      </c>
    </row>
    <row r="424" spans="1:53">
      <c r="A424" s="435" t="s">
        <v>164</v>
      </c>
      <c r="B424" s="311" t="s">
        <v>525</v>
      </c>
      <c r="C424" s="438"/>
      <c r="D424" s="312">
        <v>365198</v>
      </c>
      <c r="E424" s="312">
        <v>13</v>
      </c>
      <c r="F424" s="296"/>
      <c r="G424" s="297"/>
      <c r="H424" s="298"/>
      <c r="I424" s="299"/>
      <c r="J424" s="298"/>
      <c r="K424" s="299"/>
      <c r="L424" s="298"/>
      <c r="M424" s="299"/>
      <c r="N424" s="298"/>
      <c r="O424" s="299"/>
      <c r="P424" s="601">
        <f t="shared" si="123"/>
        <v>0</v>
      </c>
      <c r="Q424" s="602">
        <f t="shared" si="124"/>
        <v>0</v>
      </c>
      <c r="R424" s="603">
        <f t="shared" si="125"/>
        <v>0</v>
      </c>
      <c r="S424" s="604">
        <f t="shared" si="126"/>
        <v>0</v>
      </c>
      <c r="T424" s="298"/>
      <c r="U424" s="299"/>
      <c r="V424" s="601">
        <f t="shared" si="127"/>
        <v>0</v>
      </c>
      <c r="W424" s="605">
        <f t="shared" si="128"/>
        <v>0</v>
      </c>
      <c r="X424" s="305"/>
      <c r="Y424" s="299"/>
      <c r="Z424" s="298"/>
      <c r="AA424" s="299"/>
      <c r="AB424" s="298"/>
      <c r="AC424" s="299"/>
      <c r="AD424" s="439">
        <v>393471.02</v>
      </c>
      <c r="AE424" s="440">
        <v>366536</v>
      </c>
      <c r="AF424" s="601">
        <f t="shared" si="129"/>
        <v>393471.02</v>
      </c>
      <c r="AG424" s="602">
        <f t="shared" si="130"/>
        <v>437.19002222222224</v>
      </c>
      <c r="AH424" s="603">
        <f t="shared" si="131"/>
        <v>366536</v>
      </c>
      <c r="AI424" s="603">
        <f t="shared" si="132"/>
        <v>407.26222222222225</v>
      </c>
      <c r="AJ424" s="298"/>
      <c r="AK424" s="299"/>
      <c r="AL424" s="601">
        <f t="shared" si="133"/>
        <v>0</v>
      </c>
      <c r="AM424" s="604">
        <f t="shared" si="134"/>
        <v>0</v>
      </c>
      <c r="AN424" s="306"/>
      <c r="AO424" s="307"/>
      <c r="AP424" s="298"/>
      <c r="AQ424" s="307"/>
      <c r="AR424" s="298"/>
      <c r="AS424" s="307"/>
      <c r="AT424" s="298"/>
      <c r="AU424" s="307"/>
      <c r="AV424" s="601">
        <f t="shared" si="135"/>
        <v>0</v>
      </c>
      <c r="AW424" s="609">
        <f t="shared" si="136"/>
        <v>0</v>
      </c>
      <c r="AX424" s="603">
        <f t="shared" si="137"/>
        <v>0</v>
      </c>
      <c r="AY424" s="610">
        <f t="shared" si="138"/>
        <v>0</v>
      </c>
      <c r="AZ424" s="611">
        <f t="shared" si="139"/>
        <v>437.19002222222224</v>
      </c>
      <c r="BA424" s="603">
        <f t="shared" si="140"/>
        <v>407.26222222222225</v>
      </c>
    </row>
    <row r="425" spans="1:53">
      <c r="A425" s="435" t="s">
        <v>164</v>
      </c>
      <c r="B425" s="311" t="s">
        <v>526</v>
      </c>
      <c r="C425" s="438"/>
      <c r="D425" s="312">
        <v>368364</v>
      </c>
      <c r="E425" s="312">
        <v>13</v>
      </c>
      <c r="F425" s="296"/>
      <c r="G425" s="297"/>
      <c r="H425" s="298"/>
      <c r="I425" s="299"/>
      <c r="J425" s="298"/>
      <c r="K425" s="299"/>
      <c r="L425" s="298"/>
      <c r="M425" s="299"/>
      <c r="N425" s="298"/>
      <c r="O425" s="299"/>
      <c r="P425" s="601">
        <f t="shared" si="123"/>
        <v>0</v>
      </c>
      <c r="Q425" s="602">
        <f t="shared" si="124"/>
        <v>0</v>
      </c>
      <c r="R425" s="603">
        <f t="shared" si="125"/>
        <v>0</v>
      </c>
      <c r="S425" s="604">
        <f t="shared" si="126"/>
        <v>0</v>
      </c>
      <c r="T425" s="298"/>
      <c r="U425" s="299"/>
      <c r="V425" s="601">
        <f t="shared" si="127"/>
        <v>0</v>
      </c>
      <c r="W425" s="605">
        <f t="shared" si="128"/>
        <v>0</v>
      </c>
      <c r="X425" s="305"/>
      <c r="Y425" s="299"/>
      <c r="Z425" s="298"/>
      <c r="AA425" s="299"/>
      <c r="AB425" s="298"/>
      <c r="AC425" s="299"/>
      <c r="AD425" s="439">
        <v>208643.5</v>
      </c>
      <c r="AE425" s="440">
        <v>233505</v>
      </c>
      <c r="AF425" s="601">
        <f t="shared" si="129"/>
        <v>208643.5</v>
      </c>
      <c r="AG425" s="602">
        <f t="shared" si="130"/>
        <v>231.82611111111112</v>
      </c>
      <c r="AH425" s="603">
        <f t="shared" si="131"/>
        <v>233505</v>
      </c>
      <c r="AI425" s="603">
        <f t="shared" si="132"/>
        <v>259.45</v>
      </c>
      <c r="AJ425" s="298"/>
      <c r="AK425" s="299"/>
      <c r="AL425" s="601">
        <f t="shared" si="133"/>
        <v>0</v>
      </c>
      <c r="AM425" s="604">
        <f t="shared" si="134"/>
        <v>0</v>
      </c>
      <c r="AN425" s="306"/>
      <c r="AO425" s="307"/>
      <c r="AP425" s="298"/>
      <c r="AQ425" s="307"/>
      <c r="AR425" s="298"/>
      <c r="AS425" s="307"/>
      <c r="AT425" s="298"/>
      <c r="AU425" s="307"/>
      <c r="AV425" s="601">
        <f t="shared" si="135"/>
        <v>0</v>
      </c>
      <c r="AW425" s="609">
        <f t="shared" si="136"/>
        <v>0</v>
      </c>
      <c r="AX425" s="603">
        <f t="shared" si="137"/>
        <v>0</v>
      </c>
      <c r="AY425" s="610">
        <f t="shared" si="138"/>
        <v>0</v>
      </c>
      <c r="AZ425" s="611">
        <f t="shared" si="139"/>
        <v>231.82611111111112</v>
      </c>
      <c r="BA425" s="603">
        <f t="shared" si="140"/>
        <v>259.45</v>
      </c>
    </row>
    <row r="426" spans="1:53">
      <c r="A426" s="435" t="s">
        <v>164</v>
      </c>
      <c r="B426" s="311" t="s">
        <v>527</v>
      </c>
      <c r="C426" s="438"/>
      <c r="D426" s="312">
        <v>418287</v>
      </c>
      <c r="E426" s="312">
        <v>13</v>
      </c>
      <c r="F426" s="296"/>
      <c r="G426" s="297"/>
      <c r="H426" s="298"/>
      <c r="I426" s="299"/>
      <c r="J426" s="298"/>
      <c r="K426" s="299"/>
      <c r="L426" s="298"/>
      <c r="M426" s="299"/>
      <c r="N426" s="298"/>
      <c r="O426" s="299"/>
      <c r="P426" s="601">
        <f t="shared" si="123"/>
        <v>0</v>
      </c>
      <c r="Q426" s="602">
        <f t="shared" si="124"/>
        <v>0</v>
      </c>
      <c r="R426" s="603">
        <f t="shared" si="125"/>
        <v>0</v>
      </c>
      <c r="S426" s="604">
        <f t="shared" si="126"/>
        <v>0</v>
      </c>
      <c r="T426" s="298"/>
      <c r="U426" s="299"/>
      <c r="V426" s="601">
        <f t="shared" si="127"/>
        <v>0</v>
      </c>
      <c r="W426" s="605">
        <f t="shared" si="128"/>
        <v>0</v>
      </c>
      <c r="X426" s="305"/>
      <c r="Y426" s="299"/>
      <c r="Z426" s="298"/>
      <c r="AA426" s="299"/>
      <c r="AB426" s="298"/>
      <c r="AC426" s="299"/>
      <c r="AD426" s="439">
        <v>408817</v>
      </c>
      <c r="AE426" s="440">
        <v>409084.75</v>
      </c>
      <c r="AF426" s="601">
        <f t="shared" si="129"/>
        <v>408817</v>
      </c>
      <c r="AG426" s="602">
        <f t="shared" si="130"/>
        <v>454.24111111111114</v>
      </c>
      <c r="AH426" s="603">
        <f t="shared" si="131"/>
        <v>409084.75</v>
      </c>
      <c r="AI426" s="603">
        <f t="shared" si="132"/>
        <v>454.53861111111109</v>
      </c>
      <c r="AJ426" s="298"/>
      <c r="AK426" s="299"/>
      <c r="AL426" s="601">
        <f t="shared" si="133"/>
        <v>0</v>
      </c>
      <c r="AM426" s="604">
        <f t="shared" si="134"/>
        <v>0</v>
      </c>
      <c r="AN426" s="306"/>
      <c r="AO426" s="307"/>
      <c r="AP426" s="298"/>
      <c r="AQ426" s="307"/>
      <c r="AR426" s="298"/>
      <c r="AS426" s="307"/>
      <c r="AT426" s="298"/>
      <c r="AU426" s="307"/>
      <c r="AV426" s="601">
        <f t="shared" si="135"/>
        <v>0</v>
      </c>
      <c r="AW426" s="609">
        <f t="shared" si="136"/>
        <v>0</v>
      </c>
      <c r="AX426" s="603">
        <f t="shared" si="137"/>
        <v>0</v>
      </c>
      <c r="AY426" s="610">
        <f t="shared" si="138"/>
        <v>0</v>
      </c>
      <c r="AZ426" s="611">
        <f t="shared" si="139"/>
        <v>454.24111111111114</v>
      </c>
      <c r="BA426" s="603">
        <f t="shared" si="140"/>
        <v>454.53861111111109</v>
      </c>
    </row>
    <row r="427" spans="1:53">
      <c r="A427" s="435" t="s">
        <v>164</v>
      </c>
      <c r="B427" s="311" t="s">
        <v>528</v>
      </c>
      <c r="C427" s="438"/>
      <c r="D427" s="312">
        <v>207607</v>
      </c>
      <c r="E427" s="312">
        <v>13</v>
      </c>
      <c r="F427" s="296"/>
      <c r="G427" s="297"/>
      <c r="H427" s="298"/>
      <c r="I427" s="299"/>
      <c r="J427" s="298"/>
      <c r="K427" s="299"/>
      <c r="L427" s="298"/>
      <c r="M427" s="299"/>
      <c r="N427" s="298"/>
      <c r="O427" s="299"/>
      <c r="P427" s="601">
        <f t="shared" si="123"/>
        <v>0</v>
      </c>
      <c r="Q427" s="602">
        <f t="shared" si="124"/>
        <v>0</v>
      </c>
      <c r="R427" s="603">
        <f t="shared" si="125"/>
        <v>0</v>
      </c>
      <c r="S427" s="604">
        <f t="shared" si="126"/>
        <v>0</v>
      </c>
      <c r="T427" s="298"/>
      <c r="U427" s="299"/>
      <c r="V427" s="601">
        <f t="shared" si="127"/>
        <v>0</v>
      </c>
      <c r="W427" s="605">
        <f t="shared" si="128"/>
        <v>0</v>
      </c>
      <c r="X427" s="305"/>
      <c r="Y427" s="299"/>
      <c r="Z427" s="298"/>
      <c r="AA427" s="299"/>
      <c r="AB427" s="298"/>
      <c r="AC427" s="299"/>
      <c r="AD427" s="439">
        <v>389311</v>
      </c>
      <c r="AE427" s="440">
        <v>343403.42</v>
      </c>
      <c r="AF427" s="601">
        <f t="shared" si="129"/>
        <v>389311</v>
      </c>
      <c r="AG427" s="602">
        <f t="shared" si="130"/>
        <v>432.56777777777779</v>
      </c>
      <c r="AH427" s="603">
        <f t="shared" si="131"/>
        <v>343403.42</v>
      </c>
      <c r="AI427" s="603">
        <f t="shared" si="132"/>
        <v>381.55935555555556</v>
      </c>
      <c r="AJ427" s="298"/>
      <c r="AK427" s="299"/>
      <c r="AL427" s="601">
        <f t="shared" si="133"/>
        <v>0</v>
      </c>
      <c r="AM427" s="604">
        <f t="shared" si="134"/>
        <v>0</v>
      </c>
      <c r="AN427" s="306"/>
      <c r="AO427" s="307"/>
      <c r="AP427" s="298"/>
      <c r="AQ427" s="307"/>
      <c r="AR427" s="298"/>
      <c r="AS427" s="307"/>
      <c r="AT427" s="298"/>
      <c r="AU427" s="307"/>
      <c r="AV427" s="601">
        <f t="shared" si="135"/>
        <v>0</v>
      </c>
      <c r="AW427" s="609">
        <f t="shared" si="136"/>
        <v>0</v>
      </c>
      <c r="AX427" s="603">
        <f t="shared" si="137"/>
        <v>0</v>
      </c>
      <c r="AY427" s="610">
        <f t="shared" si="138"/>
        <v>0</v>
      </c>
      <c r="AZ427" s="611">
        <f t="shared" si="139"/>
        <v>432.56777777777779</v>
      </c>
      <c r="BA427" s="603">
        <f t="shared" si="140"/>
        <v>381.55935555555556</v>
      </c>
    </row>
    <row r="428" spans="1:53">
      <c r="A428" s="435" t="s">
        <v>164</v>
      </c>
      <c r="B428" s="489" t="s">
        <v>491</v>
      </c>
      <c r="C428" s="428" t="s">
        <v>725</v>
      </c>
      <c r="D428" s="312">
        <v>261393</v>
      </c>
      <c r="E428" s="351">
        <v>13</v>
      </c>
      <c r="F428" s="296"/>
      <c r="G428" s="297"/>
      <c r="H428" s="298"/>
      <c r="I428" s="299"/>
      <c r="J428" s="298"/>
      <c r="K428" s="299"/>
      <c r="L428" s="298"/>
      <c r="M428" s="299"/>
      <c r="N428" s="298"/>
      <c r="O428" s="299"/>
      <c r="P428" s="601">
        <f t="shared" si="123"/>
        <v>0</v>
      </c>
      <c r="Q428" s="602">
        <f t="shared" si="124"/>
        <v>0</v>
      </c>
      <c r="R428" s="603">
        <f t="shared" si="125"/>
        <v>0</v>
      </c>
      <c r="S428" s="604">
        <f t="shared" si="126"/>
        <v>0</v>
      </c>
      <c r="T428" s="298"/>
      <c r="U428" s="299"/>
      <c r="V428" s="601">
        <f t="shared" si="127"/>
        <v>0</v>
      </c>
      <c r="W428" s="605">
        <f t="shared" si="128"/>
        <v>0</v>
      </c>
      <c r="X428" s="305"/>
      <c r="Y428" s="299"/>
      <c r="Z428" s="298"/>
      <c r="AA428" s="299"/>
      <c r="AB428" s="298"/>
      <c r="AC428" s="299"/>
      <c r="AD428" s="573">
        <v>611555.15</v>
      </c>
      <c r="AE428" s="572">
        <v>619510.21</v>
      </c>
      <c r="AF428" s="601">
        <f t="shared" si="129"/>
        <v>611555.15</v>
      </c>
      <c r="AG428" s="602">
        <f t="shared" si="130"/>
        <v>679.50572222222229</v>
      </c>
      <c r="AH428" s="603">
        <f t="shared" si="131"/>
        <v>619510.21</v>
      </c>
      <c r="AI428" s="603">
        <f t="shared" si="132"/>
        <v>688.34467777777775</v>
      </c>
      <c r="AJ428" s="298"/>
      <c r="AK428" s="299"/>
      <c r="AL428" s="601">
        <f t="shared" si="133"/>
        <v>0</v>
      </c>
      <c r="AM428" s="604">
        <f t="shared" si="134"/>
        <v>0</v>
      </c>
      <c r="AN428" s="306"/>
      <c r="AO428" s="307"/>
      <c r="AP428" s="298"/>
      <c r="AQ428" s="307"/>
      <c r="AR428" s="298"/>
      <c r="AS428" s="307"/>
      <c r="AT428" s="298"/>
      <c r="AU428" s="307"/>
      <c r="AV428" s="601">
        <f t="shared" si="135"/>
        <v>0</v>
      </c>
      <c r="AW428" s="609">
        <f t="shared" si="136"/>
        <v>0</v>
      </c>
      <c r="AX428" s="603">
        <f t="shared" si="137"/>
        <v>0</v>
      </c>
      <c r="AY428" s="610">
        <f t="shared" si="138"/>
        <v>0</v>
      </c>
      <c r="AZ428" s="611">
        <f t="shared" si="139"/>
        <v>679.50572222222229</v>
      </c>
      <c r="BA428" s="603">
        <f t="shared" si="140"/>
        <v>688.34467777777775</v>
      </c>
    </row>
    <row r="429" spans="1:53">
      <c r="A429" s="435" t="s">
        <v>164</v>
      </c>
      <c r="B429" s="311" t="s">
        <v>529</v>
      </c>
      <c r="C429" s="438"/>
      <c r="D429" s="312">
        <v>261375</v>
      </c>
      <c r="E429" s="312">
        <v>13</v>
      </c>
      <c r="F429" s="296"/>
      <c r="G429" s="297"/>
      <c r="H429" s="298"/>
      <c r="I429" s="299"/>
      <c r="J429" s="298"/>
      <c r="K429" s="299"/>
      <c r="L429" s="298"/>
      <c r="M429" s="299"/>
      <c r="N429" s="298"/>
      <c r="O429" s="299"/>
      <c r="P429" s="601">
        <f t="shared" si="123"/>
        <v>0</v>
      </c>
      <c r="Q429" s="602">
        <f t="shared" si="124"/>
        <v>0</v>
      </c>
      <c r="R429" s="603">
        <f t="shared" si="125"/>
        <v>0</v>
      </c>
      <c r="S429" s="604">
        <f t="shared" si="126"/>
        <v>0</v>
      </c>
      <c r="T429" s="298"/>
      <c r="U429" s="299"/>
      <c r="V429" s="601">
        <f t="shared" si="127"/>
        <v>0</v>
      </c>
      <c r="W429" s="605">
        <f t="shared" si="128"/>
        <v>0</v>
      </c>
      <c r="X429" s="305"/>
      <c r="Y429" s="299"/>
      <c r="Z429" s="298"/>
      <c r="AA429" s="299"/>
      <c r="AB429" s="298"/>
      <c r="AC429" s="299"/>
      <c r="AD429" s="573">
        <v>828316.5</v>
      </c>
      <c r="AE429" s="572">
        <v>847545.18</v>
      </c>
      <c r="AF429" s="601">
        <f t="shared" si="129"/>
        <v>828316.5</v>
      </c>
      <c r="AG429" s="602">
        <f t="shared" si="130"/>
        <v>920.35166666666669</v>
      </c>
      <c r="AH429" s="603">
        <f t="shared" si="131"/>
        <v>847545.18</v>
      </c>
      <c r="AI429" s="603">
        <f t="shared" si="132"/>
        <v>941.71686666666676</v>
      </c>
      <c r="AJ429" s="298"/>
      <c r="AK429" s="299"/>
      <c r="AL429" s="601">
        <f t="shared" si="133"/>
        <v>0</v>
      </c>
      <c r="AM429" s="604">
        <f t="shared" si="134"/>
        <v>0</v>
      </c>
      <c r="AN429" s="306"/>
      <c r="AO429" s="307"/>
      <c r="AP429" s="298"/>
      <c r="AQ429" s="307"/>
      <c r="AR429" s="298"/>
      <c r="AS429" s="307"/>
      <c r="AT429" s="298"/>
      <c r="AU429" s="307"/>
      <c r="AV429" s="601">
        <f t="shared" si="135"/>
        <v>0</v>
      </c>
      <c r="AW429" s="609">
        <f t="shared" si="136"/>
        <v>0</v>
      </c>
      <c r="AX429" s="603">
        <f t="shared" si="137"/>
        <v>0</v>
      </c>
      <c r="AY429" s="610">
        <f t="shared" si="138"/>
        <v>0</v>
      </c>
      <c r="AZ429" s="611">
        <f t="shared" si="139"/>
        <v>920.35166666666669</v>
      </c>
      <c r="BA429" s="603">
        <f t="shared" si="140"/>
        <v>941.71686666666676</v>
      </c>
    </row>
    <row r="430" spans="1:53">
      <c r="A430" s="435" t="s">
        <v>164</v>
      </c>
      <c r="B430" s="311" t="s">
        <v>530</v>
      </c>
      <c r="C430" s="438"/>
      <c r="D430" s="312">
        <v>261384</v>
      </c>
      <c r="E430" s="312">
        <v>13</v>
      </c>
      <c r="F430" s="296"/>
      <c r="G430" s="297"/>
      <c r="H430" s="298"/>
      <c r="I430" s="299"/>
      <c r="J430" s="298"/>
      <c r="K430" s="299"/>
      <c r="L430" s="298"/>
      <c r="M430" s="299"/>
      <c r="N430" s="298"/>
      <c r="O430" s="299"/>
      <c r="P430" s="601">
        <f t="shared" si="123"/>
        <v>0</v>
      </c>
      <c r="Q430" s="602">
        <f t="shared" si="124"/>
        <v>0</v>
      </c>
      <c r="R430" s="603">
        <f t="shared" si="125"/>
        <v>0</v>
      </c>
      <c r="S430" s="604">
        <f t="shared" si="126"/>
        <v>0</v>
      </c>
      <c r="T430" s="298"/>
      <c r="U430" s="299"/>
      <c r="V430" s="601">
        <f t="shared" si="127"/>
        <v>0</v>
      </c>
      <c r="W430" s="605">
        <f t="shared" si="128"/>
        <v>0</v>
      </c>
      <c r="X430" s="305"/>
      <c r="Y430" s="299"/>
      <c r="Z430" s="298"/>
      <c r="AA430" s="299"/>
      <c r="AB430" s="298"/>
      <c r="AC430" s="299"/>
      <c r="AD430" s="573">
        <v>447680.5</v>
      </c>
      <c r="AE430" s="572">
        <v>435187.5</v>
      </c>
      <c r="AF430" s="601">
        <f t="shared" si="129"/>
        <v>447680.5</v>
      </c>
      <c r="AG430" s="602">
        <f t="shared" si="130"/>
        <v>497.42277777777775</v>
      </c>
      <c r="AH430" s="603">
        <f t="shared" si="131"/>
        <v>435187.5</v>
      </c>
      <c r="AI430" s="603">
        <f t="shared" si="132"/>
        <v>483.54166666666669</v>
      </c>
      <c r="AJ430" s="298"/>
      <c r="AK430" s="299"/>
      <c r="AL430" s="601">
        <f t="shared" si="133"/>
        <v>0</v>
      </c>
      <c r="AM430" s="604">
        <f t="shared" si="134"/>
        <v>0</v>
      </c>
      <c r="AN430" s="306"/>
      <c r="AO430" s="307"/>
      <c r="AP430" s="298"/>
      <c r="AQ430" s="307"/>
      <c r="AR430" s="298"/>
      <c r="AS430" s="307"/>
      <c r="AT430" s="298"/>
      <c r="AU430" s="307"/>
      <c r="AV430" s="601">
        <f t="shared" si="135"/>
        <v>0</v>
      </c>
      <c r="AW430" s="609">
        <f t="shared" si="136"/>
        <v>0</v>
      </c>
      <c r="AX430" s="603">
        <f t="shared" si="137"/>
        <v>0</v>
      </c>
      <c r="AY430" s="610">
        <f t="shared" si="138"/>
        <v>0</v>
      </c>
      <c r="AZ430" s="611">
        <f t="shared" si="139"/>
        <v>497.42277777777775</v>
      </c>
      <c r="BA430" s="603">
        <f t="shared" si="140"/>
        <v>483.54166666666669</v>
      </c>
    </row>
    <row r="431" spans="1:53">
      <c r="A431" s="435" t="s">
        <v>164</v>
      </c>
      <c r="B431" s="311" t="s">
        <v>531</v>
      </c>
      <c r="C431" s="438"/>
      <c r="D431" s="312">
        <v>418357</v>
      </c>
      <c r="E431" s="312">
        <v>13</v>
      </c>
      <c r="F431" s="296"/>
      <c r="G431" s="297"/>
      <c r="H431" s="298"/>
      <c r="I431" s="299"/>
      <c r="J431" s="298"/>
      <c r="K431" s="299"/>
      <c r="L431" s="298"/>
      <c r="M431" s="299"/>
      <c r="N431" s="298"/>
      <c r="O431" s="299"/>
      <c r="P431" s="601">
        <f t="shared" si="123"/>
        <v>0</v>
      </c>
      <c r="Q431" s="602">
        <f t="shared" si="124"/>
        <v>0</v>
      </c>
      <c r="R431" s="603">
        <f t="shared" si="125"/>
        <v>0</v>
      </c>
      <c r="S431" s="604">
        <f t="shared" si="126"/>
        <v>0</v>
      </c>
      <c r="T431" s="298"/>
      <c r="U431" s="299"/>
      <c r="V431" s="601">
        <f t="shared" si="127"/>
        <v>0</v>
      </c>
      <c r="W431" s="605">
        <f t="shared" si="128"/>
        <v>0</v>
      </c>
      <c r="X431" s="305"/>
      <c r="Y431" s="299"/>
      <c r="Z431" s="298"/>
      <c r="AA431" s="299"/>
      <c r="AB431" s="298"/>
      <c r="AC431" s="299"/>
      <c r="AD431" s="573">
        <v>248702.25</v>
      </c>
      <c r="AE431" s="572">
        <v>203069</v>
      </c>
      <c r="AF431" s="601">
        <f t="shared" si="129"/>
        <v>248702.25</v>
      </c>
      <c r="AG431" s="602">
        <f t="shared" si="130"/>
        <v>276.33583333333331</v>
      </c>
      <c r="AH431" s="603">
        <f t="shared" si="131"/>
        <v>203069</v>
      </c>
      <c r="AI431" s="603">
        <f t="shared" si="132"/>
        <v>225.63222222222223</v>
      </c>
      <c r="AJ431" s="298"/>
      <c r="AK431" s="299"/>
      <c r="AL431" s="601">
        <f t="shared" si="133"/>
        <v>0</v>
      </c>
      <c r="AM431" s="604">
        <f t="shared" si="134"/>
        <v>0</v>
      </c>
      <c r="AN431" s="306"/>
      <c r="AO431" s="307"/>
      <c r="AP431" s="298"/>
      <c r="AQ431" s="307"/>
      <c r="AR431" s="298"/>
      <c r="AS431" s="307"/>
      <c r="AT431" s="298"/>
      <c r="AU431" s="307"/>
      <c r="AV431" s="601">
        <f t="shared" si="135"/>
        <v>0</v>
      </c>
      <c r="AW431" s="609">
        <f t="shared" si="136"/>
        <v>0</v>
      </c>
      <c r="AX431" s="603">
        <f t="shared" si="137"/>
        <v>0</v>
      </c>
      <c r="AY431" s="610">
        <f t="shared" si="138"/>
        <v>0</v>
      </c>
      <c r="AZ431" s="611">
        <f t="shared" si="139"/>
        <v>276.33583333333331</v>
      </c>
      <c r="BA431" s="603">
        <f t="shared" si="140"/>
        <v>225.63222222222223</v>
      </c>
    </row>
    <row r="432" spans="1:53">
      <c r="A432" s="312" t="s">
        <v>164</v>
      </c>
      <c r="B432" s="311" t="s">
        <v>532</v>
      </c>
      <c r="C432" s="438"/>
      <c r="D432" s="312">
        <v>418302</v>
      </c>
      <c r="E432" s="312">
        <v>13</v>
      </c>
      <c r="F432" s="296"/>
      <c r="G432" s="297"/>
      <c r="H432" s="298"/>
      <c r="I432" s="299"/>
      <c r="J432" s="298"/>
      <c r="K432" s="299"/>
      <c r="L432" s="298"/>
      <c r="M432" s="299"/>
      <c r="N432" s="298"/>
      <c r="O432" s="299"/>
      <c r="P432" s="601">
        <f t="shared" si="123"/>
        <v>0</v>
      </c>
      <c r="Q432" s="602">
        <f t="shared" si="124"/>
        <v>0</v>
      </c>
      <c r="R432" s="603">
        <f t="shared" si="125"/>
        <v>0</v>
      </c>
      <c r="S432" s="604">
        <f t="shared" si="126"/>
        <v>0</v>
      </c>
      <c r="T432" s="298"/>
      <c r="U432" s="299"/>
      <c r="V432" s="601">
        <f t="shared" si="127"/>
        <v>0</v>
      </c>
      <c r="W432" s="605">
        <f t="shared" si="128"/>
        <v>0</v>
      </c>
      <c r="X432" s="305"/>
      <c r="Y432" s="299"/>
      <c r="Z432" s="298"/>
      <c r="AA432" s="299"/>
      <c r="AB432" s="298"/>
      <c r="AC432" s="299"/>
      <c r="AD432" s="573">
        <v>416375</v>
      </c>
      <c r="AE432" s="572">
        <v>434095.55</v>
      </c>
      <c r="AF432" s="601">
        <f t="shared" si="129"/>
        <v>416375</v>
      </c>
      <c r="AG432" s="602">
        <f t="shared" si="130"/>
        <v>462.63888888888891</v>
      </c>
      <c r="AH432" s="603">
        <f t="shared" si="131"/>
        <v>434095.55</v>
      </c>
      <c r="AI432" s="603">
        <f t="shared" si="132"/>
        <v>482.32838888888887</v>
      </c>
      <c r="AJ432" s="298"/>
      <c r="AK432" s="299"/>
      <c r="AL432" s="601">
        <f t="shared" si="133"/>
        <v>0</v>
      </c>
      <c r="AM432" s="604">
        <f t="shared" si="134"/>
        <v>0</v>
      </c>
      <c r="AN432" s="306"/>
      <c r="AO432" s="307"/>
      <c r="AP432" s="298"/>
      <c r="AQ432" s="307"/>
      <c r="AR432" s="298"/>
      <c r="AS432" s="307"/>
      <c r="AT432" s="298"/>
      <c r="AU432" s="307"/>
      <c r="AV432" s="601">
        <f t="shared" si="135"/>
        <v>0</v>
      </c>
      <c r="AW432" s="609">
        <f t="shared" si="136"/>
        <v>0</v>
      </c>
      <c r="AX432" s="603">
        <f t="shared" si="137"/>
        <v>0</v>
      </c>
      <c r="AY432" s="610">
        <f t="shared" si="138"/>
        <v>0</v>
      </c>
      <c r="AZ432" s="611">
        <f t="shared" si="139"/>
        <v>462.63888888888891</v>
      </c>
      <c r="BA432" s="603">
        <f t="shared" si="140"/>
        <v>482.32838888888887</v>
      </c>
    </row>
    <row r="433" spans="1:53">
      <c r="A433" s="557" t="s">
        <v>199</v>
      </c>
      <c r="B433" s="558" t="s">
        <v>920</v>
      </c>
      <c r="C433" s="559"/>
      <c r="D433" s="560">
        <v>217882</v>
      </c>
      <c r="E433" s="561">
        <v>1</v>
      </c>
      <c r="F433" s="565" t="s">
        <v>52</v>
      </c>
      <c r="G433" s="566" t="s">
        <v>52</v>
      </c>
      <c r="H433" s="567"/>
      <c r="I433" s="568"/>
      <c r="J433" s="567">
        <v>211690</v>
      </c>
      <c r="K433" s="568">
        <v>215291</v>
      </c>
      <c r="L433" s="567">
        <v>25069</v>
      </c>
      <c r="M433" s="568">
        <v>24389</v>
      </c>
      <c r="N433" s="567">
        <v>230633</v>
      </c>
      <c r="O433" s="568">
        <v>236236</v>
      </c>
      <c r="P433" s="601">
        <f t="shared" si="123"/>
        <v>467392</v>
      </c>
      <c r="Q433" s="602">
        <f t="shared" si="124"/>
        <v>15579.733333333334</v>
      </c>
      <c r="R433" s="603">
        <f t="shared" si="125"/>
        <v>475916</v>
      </c>
      <c r="S433" s="604">
        <f t="shared" si="126"/>
        <v>15863.866666666667</v>
      </c>
      <c r="T433" s="567"/>
      <c r="U433" s="568"/>
      <c r="V433" s="601">
        <f t="shared" si="127"/>
        <v>0</v>
      </c>
      <c r="W433" s="605">
        <f t="shared" si="128"/>
        <v>0</v>
      </c>
      <c r="X433" s="569"/>
      <c r="Y433" s="568"/>
      <c r="Z433" s="567"/>
      <c r="AA433" s="568"/>
      <c r="AB433" s="567"/>
      <c r="AC433" s="568"/>
      <c r="AD433" s="573"/>
      <c r="AE433" s="572"/>
      <c r="AF433" s="601">
        <f t="shared" si="129"/>
        <v>0</v>
      </c>
      <c r="AG433" s="602">
        <f t="shared" si="130"/>
        <v>0</v>
      </c>
      <c r="AH433" s="603">
        <f t="shared" si="131"/>
        <v>0</v>
      </c>
      <c r="AI433" s="603">
        <f t="shared" si="132"/>
        <v>0</v>
      </c>
      <c r="AJ433" s="567"/>
      <c r="AK433" s="568"/>
      <c r="AL433" s="601">
        <f t="shared" si="133"/>
        <v>0</v>
      </c>
      <c r="AM433" s="604">
        <f t="shared" si="134"/>
        <v>0</v>
      </c>
      <c r="AN433" s="570"/>
      <c r="AO433" s="571"/>
      <c r="AP433" s="567">
        <v>29173</v>
      </c>
      <c r="AQ433" s="571">
        <v>30766</v>
      </c>
      <c r="AR433" s="567">
        <v>12143</v>
      </c>
      <c r="AS433" s="571">
        <v>12048</v>
      </c>
      <c r="AT433" s="567">
        <v>32473</v>
      </c>
      <c r="AU433" s="571">
        <v>34457</v>
      </c>
      <c r="AV433" s="601">
        <f t="shared" si="135"/>
        <v>73789</v>
      </c>
      <c r="AW433" s="609">
        <f t="shared" si="136"/>
        <v>3074.5416666666665</v>
      </c>
      <c r="AX433" s="603">
        <f t="shared" si="137"/>
        <v>77271</v>
      </c>
      <c r="AY433" s="610">
        <f t="shared" si="138"/>
        <v>3219.625</v>
      </c>
      <c r="AZ433" s="611">
        <f t="shared" si="139"/>
        <v>18654.275000000001</v>
      </c>
      <c r="BA433" s="603">
        <f t="shared" si="140"/>
        <v>19083.491666666669</v>
      </c>
    </row>
    <row r="434" spans="1:53">
      <c r="A434" s="557" t="s">
        <v>199</v>
      </c>
      <c r="B434" s="558" t="s">
        <v>922</v>
      </c>
      <c r="C434" s="559"/>
      <c r="D434" s="560">
        <v>218663</v>
      </c>
      <c r="E434" s="561">
        <v>1</v>
      </c>
      <c r="F434" s="565" t="s">
        <v>52</v>
      </c>
      <c r="G434" s="566" t="s">
        <v>52</v>
      </c>
      <c r="H434" s="567"/>
      <c r="I434" s="568"/>
      <c r="J434" s="567">
        <v>280963</v>
      </c>
      <c r="K434" s="568">
        <v>297287</v>
      </c>
      <c r="L434" s="567">
        <v>30954</v>
      </c>
      <c r="M434" s="568">
        <v>32445</v>
      </c>
      <c r="N434" s="567">
        <v>316953</v>
      </c>
      <c r="O434" s="568">
        <v>332511</v>
      </c>
      <c r="P434" s="601">
        <f t="shared" si="123"/>
        <v>628870</v>
      </c>
      <c r="Q434" s="602">
        <f t="shared" si="124"/>
        <v>20962.333333333332</v>
      </c>
      <c r="R434" s="603">
        <f t="shared" si="125"/>
        <v>662243</v>
      </c>
      <c r="S434" s="604">
        <f t="shared" si="126"/>
        <v>22074.766666666666</v>
      </c>
      <c r="T434" s="567">
        <v>197</v>
      </c>
      <c r="U434" s="568">
        <v>143</v>
      </c>
      <c r="V434" s="601">
        <f t="shared" si="127"/>
        <v>628870</v>
      </c>
      <c r="W434" s="605">
        <f t="shared" si="128"/>
        <v>662243</v>
      </c>
      <c r="X434" s="569"/>
      <c r="Y434" s="568"/>
      <c r="Z434" s="567"/>
      <c r="AA434" s="568"/>
      <c r="AB434" s="567"/>
      <c r="AC434" s="568"/>
      <c r="AD434" s="573"/>
      <c r="AE434" s="572"/>
      <c r="AF434" s="601">
        <f t="shared" si="129"/>
        <v>0</v>
      </c>
      <c r="AG434" s="602">
        <f t="shared" si="130"/>
        <v>0</v>
      </c>
      <c r="AH434" s="603">
        <f t="shared" si="131"/>
        <v>0</v>
      </c>
      <c r="AI434" s="603">
        <f t="shared" si="132"/>
        <v>0</v>
      </c>
      <c r="AJ434" s="567"/>
      <c r="AK434" s="568"/>
      <c r="AL434" s="601">
        <f t="shared" si="133"/>
        <v>0</v>
      </c>
      <c r="AM434" s="604">
        <f t="shared" si="134"/>
        <v>0</v>
      </c>
      <c r="AN434" s="570"/>
      <c r="AO434" s="571"/>
      <c r="AP434" s="567">
        <v>47447</v>
      </c>
      <c r="AQ434" s="571">
        <v>50283</v>
      </c>
      <c r="AR434" s="567">
        <v>18373</v>
      </c>
      <c r="AS434" s="571">
        <v>18193</v>
      </c>
      <c r="AT434" s="567">
        <v>50739</v>
      </c>
      <c r="AU434" s="571">
        <v>49746</v>
      </c>
      <c r="AV434" s="601">
        <f t="shared" si="135"/>
        <v>116559</v>
      </c>
      <c r="AW434" s="609">
        <f t="shared" si="136"/>
        <v>4856.625</v>
      </c>
      <c r="AX434" s="603">
        <f t="shared" si="137"/>
        <v>118222</v>
      </c>
      <c r="AY434" s="610">
        <f t="shared" si="138"/>
        <v>4925.916666666667</v>
      </c>
      <c r="AZ434" s="611">
        <f t="shared" si="139"/>
        <v>25818.958333333332</v>
      </c>
      <c r="BA434" s="603">
        <f t="shared" si="140"/>
        <v>27000.683333333334</v>
      </c>
    </row>
    <row r="435" spans="1:53">
      <c r="A435" s="557" t="s">
        <v>199</v>
      </c>
      <c r="B435" s="558" t="s">
        <v>921</v>
      </c>
      <c r="C435" s="559"/>
      <c r="D435" s="560">
        <v>217819</v>
      </c>
      <c r="E435" s="561">
        <v>3</v>
      </c>
      <c r="F435" s="565" t="s">
        <v>52</v>
      </c>
      <c r="G435" s="566" t="s">
        <v>52</v>
      </c>
      <c r="H435" s="567"/>
      <c r="I435" s="568"/>
      <c r="J435" s="567">
        <v>137078</v>
      </c>
      <c r="K435" s="568">
        <v>136212</v>
      </c>
      <c r="L435" s="567">
        <v>13495</v>
      </c>
      <c r="M435" s="568">
        <v>14126</v>
      </c>
      <c r="N435" s="567">
        <v>144220</v>
      </c>
      <c r="O435" s="568">
        <v>150084</v>
      </c>
      <c r="P435" s="601">
        <f t="shared" si="123"/>
        <v>294793</v>
      </c>
      <c r="Q435" s="602">
        <f t="shared" si="124"/>
        <v>9826.4333333333325</v>
      </c>
      <c r="R435" s="603">
        <f t="shared" si="125"/>
        <v>300422</v>
      </c>
      <c r="S435" s="604">
        <f t="shared" si="126"/>
        <v>10014.066666666668</v>
      </c>
      <c r="T435" s="567">
        <v>255</v>
      </c>
      <c r="U435" s="568">
        <v>224</v>
      </c>
      <c r="V435" s="601">
        <f t="shared" si="127"/>
        <v>294793</v>
      </c>
      <c r="W435" s="605">
        <f t="shared" si="128"/>
        <v>300422</v>
      </c>
      <c r="X435" s="569"/>
      <c r="Y435" s="568"/>
      <c r="Z435" s="567"/>
      <c r="AA435" s="568"/>
      <c r="AB435" s="567"/>
      <c r="AC435" s="568"/>
      <c r="AD435" s="573"/>
      <c r="AE435" s="572"/>
      <c r="AF435" s="601">
        <f t="shared" si="129"/>
        <v>0</v>
      </c>
      <c r="AG435" s="602">
        <f t="shared" si="130"/>
        <v>0</v>
      </c>
      <c r="AH435" s="603">
        <f t="shared" si="131"/>
        <v>0</v>
      </c>
      <c r="AI435" s="603">
        <f t="shared" si="132"/>
        <v>0</v>
      </c>
      <c r="AJ435" s="567"/>
      <c r="AK435" s="568"/>
      <c r="AL435" s="601">
        <f t="shared" si="133"/>
        <v>0</v>
      </c>
      <c r="AM435" s="604">
        <f t="shared" si="134"/>
        <v>0</v>
      </c>
      <c r="AN435" s="570"/>
      <c r="AO435" s="571"/>
      <c r="AP435" s="567">
        <v>6593</v>
      </c>
      <c r="AQ435" s="571">
        <v>7268</v>
      </c>
      <c r="AR435" s="567">
        <v>4546</v>
      </c>
      <c r="AS435" s="571">
        <v>5273</v>
      </c>
      <c r="AT435" s="567">
        <v>7089</v>
      </c>
      <c r="AU435" s="571">
        <v>6513</v>
      </c>
      <c r="AV435" s="601">
        <f t="shared" si="135"/>
        <v>18228</v>
      </c>
      <c r="AW435" s="609">
        <f t="shared" si="136"/>
        <v>759.5</v>
      </c>
      <c r="AX435" s="603">
        <f t="shared" si="137"/>
        <v>19054</v>
      </c>
      <c r="AY435" s="610">
        <f t="shared" si="138"/>
        <v>793.91666666666663</v>
      </c>
      <c r="AZ435" s="611">
        <f t="shared" si="139"/>
        <v>10585.933333333332</v>
      </c>
      <c r="BA435" s="603">
        <f t="shared" si="140"/>
        <v>10807.983333333334</v>
      </c>
    </row>
    <row r="436" spans="1:53">
      <c r="A436" s="557" t="s">
        <v>199</v>
      </c>
      <c r="B436" s="558" t="s">
        <v>924</v>
      </c>
      <c r="C436" s="559"/>
      <c r="D436" s="560">
        <v>218964</v>
      </c>
      <c r="E436" s="561">
        <v>3</v>
      </c>
      <c r="F436" s="565" t="s">
        <v>52</v>
      </c>
      <c r="G436" s="566" t="s">
        <v>52</v>
      </c>
      <c r="H436" s="567"/>
      <c r="I436" s="568"/>
      <c r="J436" s="567">
        <v>66324.5</v>
      </c>
      <c r="K436" s="568">
        <v>65103</v>
      </c>
      <c r="L436" s="567">
        <v>7445</v>
      </c>
      <c r="M436" s="568">
        <v>8200</v>
      </c>
      <c r="N436" s="567">
        <v>69817</v>
      </c>
      <c r="O436" s="568">
        <v>69093</v>
      </c>
      <c r="P436" s="601">
        <f t="shared" si="123"/>
        <v>143586.5</v>
      </c>
      <c r="Q436" s="602">
        <f t="shared" si="124"/>
        <v>4786.2166666666662</v>
      </c>
      <c r="R436" s="603">
        <f t="shared" si="125"/>
        <v>142396</v>
      </c>
      <c r="S436" s="604">
        <f t="shared" si="126"/>
        <v>4746.5333333333338</v>
      </c>
      <c r="T436" s="567">
        <v>1206</v>
      </c>
      <c r="U436" s="568">
        <v>1059</v>
      </c>
      <c r="V436" s="601">
        <f t="shared" si="127"/>
        <v>143586.5</v>
      </c>
      <c r="W436" s="605">
        <f t="shared" si="128"/>
        <v>142396</v>
      </c>
      <c r="X436" s="569"/>
      <c r="Y436" s="568"/>
      <c r="Z436" s="567"/>
      <c r="AA436" s="568"/>
      <c r="AB436" s="567"/>
      <c r="AC436" s="568"/>
      <c r="AD436" s="573"/>
      <c r="AE436" s="572"/>
      <c r="AF436" s="601">
        <f t="shared" si="129"/>
        <v>0</v>
      </c>
      <c r="AG436" s="602">
        <f t="shared" si="130"/>
        <v>0</v>
      </c>
      <c r="AH436" s="603">
        <f t="shared" si="131"/>
        <v>0</v>
      </c>
      <c r="AI436" s="603">
        <f t="shared" si="132"/>
        <v>0</v>
      </c>
      <c r="AJ436" s="567"/>
      <c r="AK436" s="568"/>
      <c r="AL436" s="601">
        <f t="shared" si="133"/>
        <v>0</v>
      </c>
      <c r="AM436" s="604">
        <f t="shared" si="134"/>
        <v>0</v>
      </c>
      <c r="AN436" s="570"/>
      <c r="AO436" s="571"/>
      <c r="AP436" s="567">
        <v>7365</v>
      </c>
      <c r="AQ436" s="571">
        <v>7369</v>
      </c>
      <c r="AR436" s="567">
        <v>3871</v>
      </c>
      <c r="AS436" s="571">
        <v>3820</v>
      </c>
      <c r="AT436" s="567">
        <v>6923</v>
      </c>
      <c r="AU436" s="571">
        <v>7393</v>
      </c>
      <c r="AV436" s="601">
        <f t="shared" si="135"/>
        <v>18159</v>
      </c>
      <c r="AW436" s="609">
        <f t="shared" si="136"/>
        <v>756.625</v>
      </c>
      <c r="AX436" s="603">
        <f t="shared" si="137"/>
        <v>18582</v>
      </c>
      <c r="AY436" s="610">
        <f t="shared" si="138"/>
        <v>774.25</v>
      </c>
      <c r="AZ436" s="611">
        <f t="shared" si="139"/>
        <v>5542.8416666666662</v>
      </c>
      <c r="BA436" s="603">
        <f t="shared" si="140"/>
        <v>5520.7833333333338</v>
      </c>
    </row>
    <row r="437" spans="1:53">
      <c r="A437" s="557" t="s">
        <v>199</v>
      </c>
      <c r="B437" s="558" t="s">
        <v>923</v>
      </c>
      <c r="C437" s="575" t="s">
        <v>447</v>
      </c>
      <c r="D437" s="560">
        <v>217864</v>
      </c>
      <c r="E437" s="561">
        <v>4</v>
      </c>
      <c r="F437" s="565" t="s">
        <v>52</v>
      </c>
      <c r="G437" s="566" t="s">
        <v>52</v>
      </c>
      <c r="H437" s="567"/>
      <c r="I437" s="568"/>
      <c r="J437" s="567">
        <v>38139</v>
      </c>
      <c r="K437" s="568">
        <v>39629</v>
      </c>
      <c r="L437" s="567">
        <v>5626</v>
      </c>
      <c r="M437" s="568">
        <v>5467</v>
      </c>
      <c r="N437" s="567">
        <v>42111</v>
      </c>
      <c r="O437" s="568">
        <v>42142</v>
      </c>
      <c r="P437" s="601">
        <f t="shared" si="123"/>
        <v>85876</v>
      </c>
      <c r="Q437" s="602">
        <f t="shared" si="124"/>
        <v>2862.5333333333333</v>
      </c>
      <c r="R437" s="603">
        <f t="shared" si="125"/>
        <v>87238</v>
      </c>
      <c r="S437" s="604">
        <f t="shared" si="126"/>
        <v>2907.9333333333334</v>
      </c>
      <c r="T437" s="567">
        <v>69</v>
      </c>
      <c r="U437" s="568">
        <v>227</v>
      </c>
      <c r="V437" s="601">
        <f t="shared" si="127"/>
        <v>85876</v>
      </c>
      <c r="W437" s="605">
        <f t="shared" si="128"/>
        <v>87238</v>
      </c>
      <c r="X437" s="569"/>
      <c r="Y437" s="568"/>
      <c r="Z437" s="567"/>
      <c r="AA437" s="568"/>
      <c r="AB437" s="567"/>
      <c r="AC437" s="568"/>
      <c r="AD437" s="573"/>
      <c r="AE437" s="572"/>
      <c r="AF437" s="601">
        <f t="shared" si="129"/>
        <v>0</v>
      </c>
      <c r="AG437" s="602">
        <f t="shared" si="130"/>
        <v>0</v>
      </c>
      <c r="AH437" s="603">
        <f t="shared" si="131"/>
        <v>0</v>
      </c>
      <c r="AI437" s="603">
        <f t="shared" si="132"/>
        <v>0</v>
      </c>
      <c r="AJ437" s="567"/>
      <c r="AK437" s="568"/>
      <c r="AL437" s="601">
        <f t="shared" si="133"/>
        <v>0</v>
      </c>
      <c r="AM437" s="604">
        <f t="shared" si="134"/>
        <v>0</v>
      </c>
      <c r="AN437" s="570"/>
      <c r="AO437" s="571"/>
      <c r="AP437" s="567">
        <v>5727</v>
      </c>
      <c r="AQ437" s="571">
        <v>5903</v>
      </c>
      <c r="AR437" s="567">
        <v>4212</v>
      </c>
      <c r="AS437" s="571">
        <v>4727</v>
      </c>
      <c r="AT437" s="567">
        <v>5563</v>
      </c>
      <c r="AU437" s="571">
        <v>5432</v>
      </c>
      <c r="AV437" s="601">
        <f t="shared" si="135"/>
        <v>15502</v>
      </c>
      <c r="AW437" s="609">
        <f t="shared" si="136"/>
        <v>645.91666666666663</v>
      </c>
      <c r="AX437" s="603">
        <f t="shared" si="137"/>
        <v>16062</v>
      </c>
      <c r="AY437" s="610">
        <f t="shared" si="138"/>
        <v>669.25</v>
      </c>
      <c r="AZ437" s="611">
        <f t="shared" si="139"/>
        <v>3508.45</v>
      </c>
      <c r="BA437" s="603">
        <f t="shared" si="140"/>
        <v>3577.1833333333334</v>
      </c>
    </row>
    <row r="438" spans="1:53">
      <c r="A438" s="557" t="s">
        <v>199</v>
      </c>
      <c r="B438" s="558" t="s">
        <v>925</v>
      </c>
      <c r="C438" s="559"/>
      <c r="D438" s="560">
        <v>218724</v>
      </c>
      <c r="E438" s="561">
        <v>5</v>
      </c>
      <c r="F438" s="565" t="s">
        <v>52</v>
      </c>
      <c r="G438" s="566" t="s">
        <v>52</v>
      </c>
      <c r="H438" s="567"/>
      <c r="I438" s="568"/>
      <c r="J438" s="567">
        <v>104419</v>
      </c>
      <c r="K438" s="568">
        <v>109295</v>
      </c>
      <c r="L438" s="567">
        <v>10985</v>
      </c>
      <c r="M438" s="568">
        <v>11181</v>
      </c>
      <c r="N438" s="567">
        <v>121102</v>
      </c>
      <c r="O438" s="568">
        <v>126828</v>
      </c>
      <c r="P438" s="601">
        <f t="shared" si="123"/>
        <v>236506</v>
      </c>
      <c r="Q438" s="602">
        <f t="shared" si="124"/>
        <v>7883.5333333333338</v>
      </c>
      <c r="R438" s="603">
        <f t="shared" si="125"/>
        <v>247304</v>
      </c>
      <c r="S438" s="604">
        <f t="shared" si="126"/>
        <v>8243.4666666666672</v>
      </c>
      <c r="T438" s="567">
        <v>320</v>
      </c>
      <c r="U438" s="568">
        <v>93</v>
      </c>
      <c r="V438" s="601">
        <f t="shared" si="127"/>
        <v>236506</v>
      </c>
      <c r="W438" s="605">
        <f t="shared" si="128"/>
        <v>247304</v>
      </c>
      <c r="X438" s="569"/>
      <c r="Y438" s="568"/>
      <c r="Z438" s="567"/>
      <c r="AA438" s="568"/>
      <c r="AB438" s="567"/>
      <c r="AC438" s="568"/>
      <c r="AD438" s="567"/>
      <c r="AE438" s="568"/>
      <c r="AF438" s="601">
        <f t="shared" si="129"/>
        <v>0</v>
      </c>
      <c r="AG438" s="602">
        <f t="shared" si="130"/>
        <v>0</v>
      </c>
      <c r="AH438" s="603">
        <f t="shared" si="131"/>
        <v>0</v>
      </c>
      <c r="AI438" s="603">
        <f t="shared" si="132"/>
        <v>0</v>
      </c>
      <c r="AJ438" s="567"/>
      <c r="AK438" s="568"/>
      <c r="AL438" s="601">
        <f t="shared" si="133"/>
        <v>0</v>
      </c>
      <c r="AM438" s="604">
        <f t="shared" si="134"/>
        <v>0</v>
      </c>
      <c r="AN438" s="570"/>
      <c r="AO438" s="571"/>
      <c r="AP438" s="567">
        <v>2861</v>
      </c>
      <c r="AQ438" s="571">
        <v>2631</v>
      </c>
      <c r="AR438" s="567">
        <v>3881</v>
      </c>
      <c r="AS438" s="571">
        <v>3454</v>
      </c>
      <c r="AT438" s="567">
        <v>2748</v>
      </c>
      <c r="AU438" s="571">
        <v>3183</v>
      </c>
      <c r="AV438" s="601">
        <f t="shared" si="135"/>
        <v>9490</v>
      </c>
      <c r="AW438" s="609">
        <f t="shared" si="136"/>
        <v>395.41666666666669</v>
      </c>
      <c r="AX438" s="603">
        <f t="shared" si="137"/>
        <v>9268</v>
      </c>
      <c r="AY438" s="610">
        <f t="shared" si="138"/>
        <v>386.16666666666669</v>
      </c>
      <c r="AZ438" s="611">
        <f t="shared" si="139"/>
        <v>8278.9500000000007</v>
      </c>
      <c r="BA438" s="603">
        <f t="shared" si="140"/>
        <v>8629.6333333333332</v>
      </c>
    </row>
    <row r="439" spans="1:53">
      <c r="A439" s="557" t="s">
        <v>199</v>
      </c>
      <c r="B439" s="558" t="s">
        <v>926</v>
      </c>
      <c r="C439" s="559"/>
      <c r="D439" s="560">
        <v>218061</v>
      </c>
      <c r="E439" s="561">
        <v>5</v>
      </c>
      <c r="F439" s="565" t="s">
        <v>52</v>
      </c>
      <c r="G439" s="566" t="s">
        <v>52</v>
      </c>
      <c r="H439" s="567"/>
      <c r="I439" s="568"/>
      <c r="J439" s="567">
        <v>45870</v>
      </c>
      <c r="K439" s="568">
        <v>47620</v>
      </c>
      <c r="L439" s="567">
        <v>5748</v>
      </c>
      <c r="M439" s="568">
        <v>5279</v>
      </c>
      <c r="N439" s="567">
        <v>51685</v>
      </c>
      <c r="O439" s="568">
        <v>52100</v>
      </c>
      <c r="P439" s="601">
        <f t="shared" si="123"/>
        <v>103303</v>
      </c>
      <c r="Q439" s="602">
        <f t="shared" si="124"/>
        <v>3443.4333333333334</v>
      </c>
      <c r="R439" s="603">
        <f t="shared" si="125"/>
        <v>104999</v>
      </c>
      <c r="S439" s="604">
        <f t="shared" si="126"/>
        <v>3499.9666666666667</v>
      </c>
      <c r="T439" s="567">
        <v>670</v>
      </c>
      <c r="U439" s="568">
        <v>1603</v>
      </c>
      <c r="V439" s="601">
        <f t="shared" si="127"/>
        <v>103303</v>
      </c>
      <c r="W439" s="605">
        <f t="shared" si="128"/>
        <v>104999</v>
      </c>
      <c r="X439" s="569"/>
      <c r="Y439" s="568"/>
      <c r="Z439" s="567"/>
      <c r="AA439" s="568"/>
      <c r="AB439" s="567"/>
      <c r="AC439" s="568"/>
      <c r="AD439" s="567"/>
      <c r="AE439" s="568"/>
      <c r="AF439" s="601">
        <f t="shared" si="129"/>
        <v>0</v>
      </c>
      <c r="AG439" s="602">
        <f t="shared" si="130"/>
        <v>0</v>
      </c>
      <c r="AH439" s="603">
        <f t="shared" si="131"/>
        <v>0</v>
      </c>
      <c r="AI439" s="603">
        <f t="shared" si="132"/>
        <v>0</v>
      </c>
      <c r="AJ439" s="567"/>
      <c r="AK439" s="568"/>
      <c r="AL439" s="601">
        <f t="shared" si="133"/>
        <v>0</v>
      </c>
      <c r="AM439" s="604">
        <f t="shared" si="134"/>
        <v>0</v>
      </c>
      <c r="AN439" s="570"/>
      <c r="AO439" s="571"/>
      <c r="AP439" s="567">
        <v>1403</v>
      </c>
      <c r="AQ439" s="571">
        <v>1272</v>
      </c>
      <c r="AR439" s="567">
        <v>1704</v>
      </c>
      <c r="AS439" s="571">
        <v>1828</v>
      </c>
      <c r="AT439" s="567">
        <v>1362</v>
      </c>
      <c r="AU439" s="571">
        <v>1867</v>
      </c>
      <c r="AV439" s="601">
        <f t="shared" si="135"/>
        <v>4469</v>
      </c>
      <c r="AW439" s="609">
        <f t="shared" si="136"/>
        <v>186.20833333333334</v>
      </c>
      <c r="AX439" s="603">
        <f t="shared" si="137"/>
        <v>4967</v>
      </c>
      <c r="AY439" s="610">
        <f t="shared" si="138"/>
        <v>206.95833333333334</v>
      </c>
      <c r="AZ439" s="611">
        <f t="shared" si="139"/>
        <v>3629.6416666666669</v>
      </c>
      <c r="BA439" s="603">
        <f t="shared" si="140"/>
        <v>3706.9250000000002</v>
      </c>
    </row>
    <row r="440" spans="1:53">
      <c r="A440" s="557" t="s">
        <v>199</v>
      </c>
      <c r="B440" s="558" t="s">
        <v>928</v>
      </c>
      <c r="C440" s="559"/>
      <c r="D440" s="560">
        <v>218733</v>
      </c>
      <c r="E440" s="561">
        <v>5</v>
      </c>
      <c r="F440" s="565" t="s">
        <v>52</v>
      </c>
      <c r="G440" s="566" t="s">
        <v>52</v>
      </c>
      <c r="H440" s="567"/>
      <c r="I440" s="568"/>
      <c r="J440" s="567">
        <v>51274</v>
      </c>
      <c r="K440" s="568">
        <v>50332</v>
      </c>
      <c r="L440" s="567">
        <v>9475</v>
      </c>
      <c r="M440" s="568">
        <v>7507</v>
      </c>
      <c r="N440" s="567">
        <v>54425</v>
      </c>
      <c r="O440" s="568">
        <v>54604</v>
      </c>
      <c r="P440" s="601">
        <f t="shared" si="123"/>
        <v>115174</v>
      </c>
      <c r="Q440" s="602">
        <f t="shared" si="124"/>
        <v>3839.1333333333332</v>
      </c>
      <c r="R440" s="603">
        <f t="shared" si="125"/>
        <v>112443</v>
      </c>
      <c r="S440" s="604">
        <f t="shared" si="126"/>
        <v>3748.1</v>
      </c>
      <c r="T440" s="567"/>
      <c r="U440" s="568"/>
      <c r="V440" s="601">
        <f t="shared" si="127"/>
        <v>0</v>
      </c>
      <c r="W440" s="605">
        <f t="shared" si="128"/>
        <v>0</v>
      </c>
      <c r="X440" s="569"/>
      <c r="Y440" s="568"/>
      <c r="Z440" s="567"/>
      <c r="AA440" s="568"/>
      <c r="AB440" s="567"/>
      <c r="AC440" s="568"/>
      <c r="AD440" s="567"/>
      <c r="AE440" s="568"/>
      <c r="AF440" s="601">
        <f t="shared" si="129"/>
        <v>0</v>
      </c>
      <c r="AG440" s="602">
        <f t="shared" si="130"/>
        <v>0</v>
      </c>
      <c r="AH440" s="603">
        <f t="shared" si="131"/>
        <v>0</v>
      </c>
      <c r="AI440" s="603">
        <f t="shared" si="132"/>
        <v>0</v>
      </c>
      <c r="AJ440" s="567"/>
      <c r="AK440" s="568"/>
      <c r="AL440" s="601">
        <f t="shared" si="133"/>
        <v>0</v>
      </c>
      <c r="AM440" s="604">
        <f t="shared" si="134"/>
        <v>0</v>
      </c>
      <c r="AN440" s="570"/>
      <c r="AO440" s="571"/>
      <c r="AP440" s="567">
        <v>4488</v>
      </c>
      <c r="AQ440" s="571">
        <v>4286</v>
      </c>
      <c r="AR440" s="567">
        <v>2307</v>
      </c>
      <c r="AS440" s="571">
        <v>1974</v>
      </c>
      <c r="AT440" s="567">
        <v>4280</v>
      </c>
      <c r="AU440" s="571">
        <v>4234</v>
      </c>
      <c r="AV440" s="601">
        <f t="shared" si="135"/>
        <v>11075</v>
      </c>
      <c r="AW440" s="609">
        <f t="shared" si="136"/>
        <v>461.45833333333331</v>
      </c>
      <c r="AX440" s="603">
        <f t="shared" si="137"/>
        <v>10494</v>
      </c>
      <c r="AY440" s="610">
        <f t="shared" si="138"/>
        <v>437.25</v>
      </c>
      <c r="AZ440" s="611">
        <f t="shared" si="139"/>
        <v>4300.5916666666662</v>
      </c>
      <c r="BA440" s="603">
        <f t="shared" si="140"/>
        <v>4185.3500000000004</v>
      </c>
    </row>
    <row r="441" spans="1:53">
      <c r="A441" s="557" t="s">
        <v>199</v>
      </c>
      <c r="B441" s="558" t="s">
        <v>927</v>
      </c>
      <c r="C441" s="559"/>
      <c r="D441" s="560">
        <v>218229</v>
      </c>
      <c r="E441" s="561">
        <v>6</v>
      </c>
      <c r="F441" s="565" t="s">
        <v>52</v>
      </c>
      <c r="G441" s="566" t="s">
        <v>52</v>
      </c>
      <c r="H441" s="567"/>
      <c r="I441" s="568"/>
      <c r="J441" s="567">
        <v>36674.5</v>
      </c>
      <c r="K441" s="568">
        <v>38776</v>
      </c>
      <c r="L441" s="567">
        <v>3857</v>
      </c>
      <c r="M441" s="568">
        <v>4083</v>
      </c>
      <c r="N441" s="567">
        <v>42265</v>
      </c>
      <c r="O441" s="568">
        <v>42546</v>
      </c>
      <c r="P441" s="601">
        <f t="shared" si="123"/>
        <v>82796.5</v>
      </c>
      <c r="Q441" s="602">
        <f t="shared" si="124"/>
        <v>2759.8833333333332</v>
      </c>
      <c r="R441" s="603">
        <f t="shared" si="125"/>
        <v>85405</v>
      </c>
      <c r="S441" s="604">
        <f t="shared" si="126"/>
        <v>2846.8333333333335</v>
      </c>
      <c r="T441" s="567">
        <v>189</v>
      </c>
      <c r="U441" s="568">
        <v>179</v>
      </c>
      <c r="V441" s="601">
        <f t="shared" si="127"/>
        <v>82796.5</v>
      </c>
      <c r="W441" s="605">
        <f t="shared" si="128"/>
        <v>85405</v>
      </c>
      <c r="X441" s="569"/>
      <c r="Y441" s="568"/>
      <c r="Z441" s="567"/>
      <c r="AA441" s="568"/>
      <c r="AB441" s="567"/>
      <c r="AC441" s="568"/>
      <c r="AD441" s="567"/>
      <c r="AE441" s="568"/>
      <c r="AF441" s="601">
        <f t="shared" si="129"/>
        <v>0</v>
      </c>
      <c r="AG441" s="602">
        <f t="shared" si="130"/>
        <v>0</v>
      </c>
      <c r="AH441" s="603">
        <f t="shared" si="131"/>
        <v>0</v>
      </c>
      <c r="AI441" s="603">
        <f t="shared" si="132"/>
        <v>0</v>
      </c>
      <c r="AJ441" s="567"/>
      <c r="AK441" s="568"/>
      <c r="AL441" s="601">
        <f t="shared" si="133"/>
        <v>0</v>
      </c>
      <c r="AM441" s="604">
        <f t="shared" si="134"/>
        <v>0</v>
      </c>
      <c r="AN441" s="570"/>
      <c r="AO441" s="571"/>
      <c r="AP441" s="567">
        <v>324</v>
      </c>
      <c r="AQ441" s="571">
        <v>414</v>
      </c>
      <c r="AR441" s="567">
        <v>1128</v>
      </c>
      <c r="AS441" s="571">
        <v>1104</v>
      </c>
      <c r="AT441" s="567">
        <v>402</v>
      </c>
      <c r="AU441" s="571">
        <v>156</v>
      </c>
      <c r="AV441" s="601">
        <f t="shared" si="135"/>
        <v>1854</v>
      </c>
      <c r="AW441" s="609">
        <f t="shared" si="136"/>
        <v>77.25</v>
      </c>
      <c r="AX441" s="603">
        <f t="shared" si="137"/>
        <v>1674</v>
      </c>
      <c r="AY441" s="610">
        <f t="shared" si="138"/>
        <v>69.75</v>
      </c>
      <c r="AZ441" s="611">
        <f t="shared" si="139"/>
        <v>2837.1333333333332</v>
      </c>
      <c r="BA441" s="603">
        <f t="shared" si="140"/>
        <v>2916.5833333333335</v>
      </c>
    </row>
    <row r="442" spans="1:53">
      <c r="A442" s="557" t="s">
        <v>199</v>
      </c>
      <c r="B442" s="558" t="s">
        <v>929</v>
      </c>
      <c r="C442" s="559"/>
      <c r="D442" s="560">
        <v>218645</v>
      </c>
      <c r="E442" s="561">
        <v>6</v>
      </c>
      <c r="F442" s="565" t="s">
        <v>52</v>
      </c>
      <c r="G442" s="566" t="s">
        <v>52</v>
      </c>
      <c r="H442" s="567"/>
      <c r="I442" s="568"/>
      <c r="J442" s="567">
        <v>37841</v>
      </c>
      <c r="K442" s="568">
        <v>37961</v>
      </c>
      <c r="L442" s="567">
        <v>4728</v>
      </c>
      <c r="M442" s="568">
        <v>5294</v>
      </c>
      <c r="N442" s="567">
        <v>41995</v>
      </c>
      <c r="O442" s="568">
        <v>41204</v>
      </c>
      <c r="P442" s="601">
        <f t="shared" si="123"/>
        <v>84564</v>
      </c>
      <c r="Q442" s="602">
        <f t="shared" si="124"/>
        <v>2818.8</v>
      </c>
      <c r="R442" s="603">
        <f t="shared" si="125"/>
        <v>84459</v>
      </c>
      <c r="S442" s="604">
        <f t="shared" si="126"/>
        <v>2815.3</v>
      </c>
      <c r="T442" s="567">
        <v>613</v>
      </c>
      <c r="U442" s="568">
        <v>641</v>
      </c>
      <c r="V442" s="601">
        <f t="shared" si="127"/>
        <v>84564</v>
      </c>
      <c r="W442" s="605">
        <f t="shared" si="128"/>
        <v>84459</v>
      </c>
      <c r="X442" s="569"/>
      <c r="Y442" s="568"/>
      <c r="Z442" s="567"/>
      <c r="AA442" s="568"/>
      <c r="AB442" s="567"/>
      <c r="AC442" s="568"/>
      <c r="AD442" s="567"/>
      <c r="AE442" s="568"/>
      <c r="AF442" s="601">
        <f t="shared" si="129"/>
        <v>0</v>
      </c>
      <c r="AG442" s="602">
        <f t="shared" si="130"/>
        <v>0</v>
      </c>
      <c r="AH442" s="603">
        <f t="shared" si="131"/>
        <v>0</v>
      </c>
      <c r="AI442" s="603">
        <f t="shared" si="132"/>
        <v>0</v>
      </c>
      <c r="AJ442" s="567"/>
      <c r="AK442" s="568"/>
      <c r="AL442" s="601">
        <f t="shared" si="133"/>
        <v>0</v>
      </c>
      <c r="AM442" s="604">
        <f t="shared" si="134"/>
        <v>0</v>
      </c>
      <c r="AN442" s="570"/>
      <c r="AO442" s="571"/>
      <c r="AP442" s="567">
        <v>472</v>
      </c>
      <c r="AQ442" s="571">
        <v>391</v>
      </c>
      <c r="AR442" s="567">
        <v>299</v>
      </c>
      <c r="AS442" s="571">
        <v>356</v>
      </c>
      <c r="AT442" s="567">
        <v>421</v>
      </c>
      <c r="AU442" s="571">
        <v>475</v>
      </c>
      <c r="AV442" s="601">
        <f t="shared" si="135"/>
        <v>1192</v>
      </c>
      <c r="AW442" s="609">
        <f t="shared" si="136"/>
        <v>49.666666666666664</v>
      </c>
      <c r="AX442" s="603">
        <f t="shared" si="137"/>
        <v>1222</v>
      </c>
      <c r="AY442" s="610">
        <f t="shared" si="138"/>
        <v>50.916666666666664</v>
      </c>
      <c r="AZ442" s="611">
        <f t="shared" si="139"/>
        <v>2868.4666666666667</v>
      </c>
      <c r="BA442" s="603">
        <f t="shared" si="140"/>
        <v>2866.2166666666667</v>
      </c>
    </row>
    <row r="443" spans="1:53">
      <c r="A443" s="557" t="s">
        <v>199</v>
      </c>
      <c r="B443" s="562" t="s">
        <v>930</v>
      </c>
      <c r="C443" s="559"/>
      <c r="D443" s="560">
        <v>218654</v>
      </c>
      <c r="E443" s="561">
        <v>6</v>
      </c>
      <c r="F443" s="565" t="s">
        <v>52</v>
      </c>
      <c r="G443" s="566" t="s">
        <v>52</v>
      </c>
      <c r="H443" s="567"/>
      <c r="I443" s="568"/>
      <c r="J443" s="567">
        <v>20131</v>
      </c>
      <c r="K443" s="568">
        <v>21353</v>
      </c>
      <c r="L443" s="567">
        <v>2808</v>
      </c>
      <c r="M443" s="568">
        <v>2922</v>
      </c>
      <c r="N443" s="567">
        <v>22775</v>
      </c>
      <c r="O443" s="568">
        <v>23892</v>
      </c>
      <c r="P443" s="601">
        <f t="shared" si="123"/>
        <v>45714</v>
      </c>
      <c r="Q443" s="602">
        <f t="shared" si="124"/>
        <v>1523.8</v>
      </c>
      <c r="R443" s="603">
        <f t="shared" si="125"/>
        <v>48167</v>
      </c>
      <c r="S443" s="604">
        <f t="shared" si="126"/>
        <v>1605.5666666666666</v>
      </c>
      <c r="T443" s="567">
        <v>56</v>
      </c>
      <c r="U443" s="568">
        <v>70</v>
      </c>
      <c r="V443" s="601">
        <f t="shared" si="127"/>
        <v>45714</v>
      </c>
      <c r="W443" s="605">
        <f t="shared" si="128"/>
        <v>48167</v>
      </c>
      <c r="X443" s="569"/>
      <c r="Y443" s="568"/>
      <c r="Z443" s="567"/>
      <c r="AA443" s="568"/>
      <c r="AB443" s="567"/>
      <c r="AC443" s="568"/>
      <c r="AD443" s="567"/>
      <c r="AE443" s="568"/>
      <c r="AF443" s="601">
        <f t="shared" si="129"/>
        <v>0</v>
      </c>
      <c r="AG443" s="602">
        <f t="shared" si="130"/>
        <v>0</v>
      </c>
      <c r="AH443" s="603">
        <f t="shared" si="131"/>
        <v>0</v>
      </c>
      <c r="AI443" s="603">
        <f t="shared" si="132"/>
        <v>0</v>
      </c>
      <c r="AJ443" s="567"/>
      <c r="AK443" s="568"/>
      <c r="AL443" s="601">
        <f t="shared" si="133"/>
        <v>0</v>
      </c>
      <c r="AM443" s="604">
        <f t="shared" si="134"/>
        <v>0</v>
      </c>
      <c r="AN443" s="570"/>
      <c r="AO443" s="571"/>
      <c r="AP443" s="567"/>
      <c r="AQ443" s="571"/>
      <c r="AR443" s="567"/>
      <c r="AS443" s="571"/>
      <c r="AT443" s="567"/>
      <c r="AU443" s="571"/>
      <c r="AV443" s="601">
        <f t="shared" si="135"/>
        <v>0</v>
      </c>
      <c r="AW443" s="609">
        <f t="shared" si="136"/>
        <v>0</v>
      </c>
      <c r="AX443" s="603">
        <f t="shared" si="137"/>
        <v>0</v>
      </c>
      <c r="AY443" s="610">
        <f t="shared" si="138"/>
        <v>0</v>
      </c>
      <c r="AZ443" s="611">
        <f t="shared" si="139"/>
        <v>1523.8</v>
      </c>
      <c r="BA443" s="603">
        <f t="shared" si="140"/>
        <v>1605.5666666666666</v>
      </c>
    </row>
    <row r="444" spans="1:53">
      <c r="A444" s="557" t="s">
        <v>199</v>
      </c>
      <c r="B444" s="558" t="s">
        <v>931</v>
      </c>
      <c r="C444" s="559"/>
      <c r="D444" s="560">
        <v>218742</v>
      </c>
      <c r="E444" s="561">
        <v>6</v>
      </c>
      <c r="F444" s="565" t="s">
        <v>52</v>
      </c>
      <c r="G444" s="566" t="s">
        <v>52</v>
      </c>
      <c r="H444" s="567"/>
      <c r="I444" s="568"/>
      <c r="J444" s="567">
        <v>66792</v>
      </c>
      <c r="K444" s="568">
        <v>68592</v>
      </c>
      <c r="L444" s="567">
        <v>7916</v>
      </c>
      <c r="M444" s="568">
        <v>8352</v>
      </c>
      <c r="N444" s="567">
        <v>73882</v>
      </c>
      <c r="O444" s="568">
        <v>72853</v>
      </c>
      <c r="P444" s="601">
        <f t="shared" si="123"/>
        <v>148590</v>
      </c>
      <c r="Q444" s="602">
        <f t="shared" si="124"/>
        <v>4953</v>
      </c>
      <c r="R444" s="603">
        <f t="shared" si="125"/>
        <v>149797</v>
      </c>
      <c r="S444" s="604">
        <f t="shared" si="126"/>
        <v>4993.2333333333336</v>
      </c>
      <c r="T444" s="567">
        <v>1790</v>
      </c>
      <c r="U444" s="568">
        <v>2028</v>
      </c>
      <c r="V444" s="601">
        <f t="shared" si="127"/>
        <v>148590</v>
      </c>
      <c r="W444" s="605">
        <f t="shared" si="128"/>
        <v>149797</v>
      </c>
      <c r="X444" s="569"/>
      <c r="Y444" s="568"/>
      <c r="Z444" s="567"/>
      <c r="AA444" s="568"/>
      <c r="AB444" s="567"/>
      <c r="AC444" s="568"/>
      <c r="AD444" s="567"/>
      <c r="AE444" s="568"/>
      <c r="AF444" s="601">
        <f t="shared" si="129"/>
        <v>0</v>
      </c>
      <c r="AG444" s="602">
        <f t="shared" si="130"/>
        <v>0</v>
      </c>
      <c r="AH444" s="603">
        <f t="shared" si="131"/>
        <v>0</v>
      </c>
      <c r="AI444" s="603">
        <f t="shared" si="132"/>
        <v>0</v>
      </c>
      <c r="AJ444" s="567"/>
      <c r="AK444" s="568"/>
      <c r="AL444" s="601">
        <f t="shared" si="133"/>
        <v>0</v>
      </c>
      <c r="AM444" s="604">
        <f t="shared" si="134"/>
        <v>0</v>
      </c>
      <c r="AN444" s="570"/>
      <c r="AO444" s="571"/>
      <c r="AP444" s="567">
        <v>481</v>
      </c>
      <c r="AQ444" s="571">
        <v>526</v>
      </c>
      <c r="AR444" s="567">
        <v>621</v>
      </c>
      <c r="AS444" s="571">
        <v>503</v>
      </c>
      <c r="AT444" s="567">
        <v>249</v>
      </c>
      <c r="AU444" s="571">
        <v>328</v>
      </c>
      <c r="AV444" s="601">
        <f t="shared" si="135"/>
        <v>1351</v>
      </c>
      <c r="AW444" s="609">
        <f t="shared" si="136"/>
        <v>56.291666666666664</v>
      </c>
      <c r="AX444" s="603">
        <f t="shared" si="137"/>
        <v>1357</v>
      </c>
      <c r="AY444" s="610">
        <f t="shared" si="138"/>
        <v>56.541666666666664</v>
      </c>
      <c r="AZ444" s="611">
        <f t="shared" si="139"/>
        <v>5009.291666666667</v>
      </c>
      <c r="BA444" s="603">
        <f t="shared" si="140"/>
        <v>5049.7750000000005</v>
      </c>
    </row>
    <row r="445" spans="1:53">
      <c r="A445" s="574" t="s">
        <v>199</v>
      </c>
      <c r="B445" s="564" t="s">
        <v>932</v>
      </c>
      <c r="C445" s="578"/>
      <c r="D445" s="563">
        <v>218113</v>
      </c>
      <c r="E445" s="581">
        <v>8</v>
      </c>
      <c r="F445" s="565" t="s">
        <v>52</v>
      </c>
      <c r="G445" s="566" t="s">
        <v>52</v>
      </c>
      <c r="H445" s="567"/>
      <c r="I445" s="568"/>
      <c r="J445" s="567">
        <v>155095</v>
      </c>
      <c r="K445" s="568">
        <v>148927.34999999998</v>
      </c>
      <c r="L445" s="567">
        <v>62610</v>
      </c>
      <c r="M445" s="568">
        <v>56767.560000000005</v>
      </c>
      <c r="N445" s="567">
        <v>160159</v>
      </c>
      <c r="O445" s="568">
        <v>152072.21</v>
      </c>
      <c r="P445" s="601">
        <f t="shared" si="123"/>
        <v>377864</v>
      </c>
      <c r="Q445" s="602">
        <f t="shared" si="124"/>
        <v>12595.466666666667</v>
      </c>
      <c r="R445" s="603">
        <f t="shared" si="125"/>
        <v>357767.12</v>
      </c>
      <c r="S445" s="604">
        <f t="shared" si="126"/>
        <v>11925.570666666667</v>
      </c>
      <c r="T445" s="567">
        <v>7883</v>
      </c>
      <c r="U445" s="568">
        <v>10314</v>
      </c>
      <c r="V445" s="601">
        <f t="shared" si="127"/>
        <v>377864</v>
      </c>
      <c r="W445" s="605">
        <f t="shared" si="128"/>
        <v>357767.12</v>
      </c>
      <c r="X445" s="569"/>
      <c r="Y445" s="568"/>
      <c r="Z445" s="567"/>
      <c r="AA445" s="568"/>
      <c r="AB445" s="567"/>
      <c r="AC445" s="568"/>
      <c r="AD445" s="567"/>
      <c r="AE445" s="568"/>
      <c r="AF445" s="601">
        <f t="shared" si="129"/>
        <v>0</v>
      </c>
      <c r="AG445" s="602">
        <f t="shared" si="130"/>
        <v>0</v>
      </c>
      <c r="AH445" s="603">
        <f t="shared" si="131"/>
        <v>0</v>
      </c>
      <c r="AI445" s="603">
        <f t="shared" si="132"/>
        <v>0</v>
      </c>
      <c r="AJ445" s="567"/>
      <c r="AK445" s="568"/>
      <c r="AL445" s="601">
        <f t="shared" si="133"/>
        <v>0</v>
      </c>
      <c r="AM445" s="604">
        <f t="shared" si="134"/>
        <v>0</v>
      </c>
      <c r="AN445" s="570"/>
      <c r="AO445" s="571"/>
      <c r="AP445" s="567"/>
      <c r="AQ445" s="571"/>
      <c r="AR445" s="567"/>
      <c r="AS445" s="571"/>
      <c r="AT445" s="567"/>
      <c r="AU445" s="571"/>
      <c r="AV445" s="601">
        <f t="shared" si="135"/>
        <v>0</v>
      </c>
      <c r="AW445" s="609">
        <f t="shared" si="136"/>
        <v>0</v>
      </c>
      <c r="AX445" s="603">
        <f t="shared" si="137"/>
        <v>0</v>
      </c>
      <c r="AY445" s="610">
        <f t="shared" si="138"/>
        <v>0</v>
      </c>
      <c r="AZ445" s="611">
        <f t="shared" si="139"/>
        <v>12595.466666666667</v>
      </c>
      <c r="BA445" s="603">
        <f t="shared" si="140"/>
        <v>11925.570666666667</v>
      </c>
    </row>
    <row r="446" spans="1:53">
      <c r="A446" s="574" t="s">
        <v>199</v>
      </c>
      <c r="B446" s="564" t="s">
        <v>938</v>
      </c>
      <c r="C446" s="579" t="s">
        <v>793</v>
      </c>
      <c r="D446" s="563">
        <v>218140</v>
      </c>
      <c r="E446" s="580">
        <v>8</v>
      </c>
      <c r="F446" s="565" t="s">
        <v>52</v>
      </c>
      <c r="G446" s="566" t="s">
        <v>52</v>
      </c>
      <c r="H446" s="567"/>
      <c r="I446" s="568"/>
      <c r="J446" s="567">
        <v>75879</v>
      </c>
      <c r="K446" s="568">
        <v>75067.030000000013</v>
      </c>
      <c r="L446" s="567">
        <v>28323</v>
      </c>
      <c r="M446" s="568">
        <v>27859.530000000002</v>
      </c>
      <c r="N446" s="567">
        <v>77162</v>
      </c>
      <c r="O446" s="568">
        <v>75063.459999999992</v>
      </c>
      <c r="P446" s="601">
        <f t="shared" si="123"/>
        <v>181364</v>
      </c>
      <c r="Q446" s="602">
        <f t="shared" si="124"/>
        <v>6045.4666666666662</v>
      </c>
      <c r="R446" s="603">
        <f t="shared" si="125"/>
        <v>177990.02000000002</v>
      </c>
      <c r="S446" s="604">
        <f t="shared" si="126"/>
        <v>5933.0006666666677</v>
      </c>
      <c r="T446" s="567">
        <v>3931</v>
      </c>
      <c r="U446" s="568">
        <v>5201</v>
      </c>
      <c r="V446" s="601">
        <f t="shared" si="127"/>
        <v>181364</v>
      </c>
      <c r="W446" s="605">
        <f t="shared" si="128"/>
        <v>177990.02000000002</v>
      </c>
      <c r="X446" s="569"/>
      <c r="Y446" s="568"/>
      <c r="Z446" s="567"/>
      <c r="AA446" s="568"/>
      <c r="AB446" s="567"/>
      <c r="AC446" s="568"/>
      <c r="AD446" s="567"/>
      <c r="AE446" s="568"/>
      <c r="AF446" s="601">
        <f t="shared" si="129"/>
        <v>0</v>
      </c>
      <c r="AG446" s="602">
        <f t="shared" si="130"/>
        <v>0</v>
      </c>
      <c r="AH446" s="603">
        <f t="shared" si="131"/>
        <v>0</v>
      </c>
      <c r="AI446" s="603">
        <f t="shared" si="132"/>
        <v>0</v>
      </c>
      <c r="AJ446" s="567"/>
      <c r="AK446" s="568"/>
      <c r="AL446" s="601">
        <f t="shared" si="133"/>
        <v>0</v>
      </c>
      <c r="AM446" s="604">
        <f t="shared" si="134"/>
        <v>0</v>
      </c>
      <c r="AN446" s="570"/>
      <c r="AO446" s="571"/>
      <c r="AP446" s="567"/>
      <c r="AQ446" s="571"/>
      <c r="AR446" s="567"/>
      <c r="AS446" s="571"/>
      <c r="AT446" s="567"/>
      <c r="AU446" s="571"/>
      <c r="AV446" s="601">
        <f t="shared" si="135"/>
        <v>0</v>
      </c>
      <c r="AW446" s="609">
        <f t="shared" si="136"/>
        <v>0</v>
      </c>
      <c r="AX446" s="603">
        <f t="shared" si="137"/>
        <v>0</v>
      </c>
      <c r="AY446" s="610">
        <f t="shared" si="138"/>
        <v>0</v>
      </c>
      <c r="AZ446" s="611">
        <f t="shared" si="139"/>
        <v>6045.4666666666662</v>
      </c>
      <c r="BA446" s="603">
        <f t="shared" si="140"/>
        <v>5933.0006666666677</v>
      </c>
    </row>
    <row r="447" spans="1:53">
      <c r="A447" s="574" t="s">
        <v>199</v>
      </c>
      <c r="B447" s="564" t="s">
        <v>933</v>
      </c>
      <c r="C447" s="578"/>
      <c r="D447" s="563">
        <v>218353</v>
      </c>
      <c r="E447" s="581">
        <v>8</v>
      </c>
      <c r="F447" s="565" t="s">
        <v>52</v>
      </c>
      <c r="G447" s="566" t="s">
        <v>52</v>
      </c>
      <c r="H447" s="567"/>
      <c r="I447" s="568"/>
      <c r="J447" s="567">
        <v>123089</v>
      </c>
      <c r="K447" s="568">
        <v>119033.01</v>
      </c>
      <c r="L447" s="567">
        <v>56900</v>
      </c>
      <c r="M447" s="754">
        <v>54145.53</v>
      </c>
      <c r="N447" s="567">
        <v>129479</v>
      </c>
      <c r="O447" s="568">
        <v>131242.36000000002</v>
      </c>
      <c r="P447" s="601">
        <f t="shared" si="123"/>
        <v>309468</v>
      </c>
      <c r="Q447" s="602">
        <f t="shared" si="124"/>
        <v>10315.6</v>
      </c>
      <c r="R447" s="603">
        <f t="shared" si="125"/>
        <v>304420.90000000002</v>
      </c>
      <c r="S447" s="604">
        <f t="shared" si="126"/>
        <v>10147.363333333335</v>
      </c>
      <c r="T447" s="567">
        <v>1411</v>
      </c>
      <c r="U447" s="568">
        <v>1287</v>
      </c>
      <c r="V447" s="601">
        <f t="shared" si="127"/>
        <v>309468</v>
      </c>
      <c r="W447" s="605">
        <f t="shared" si="128"/>
        <v>304420.90000000002</v>
      </c>
      <c r="X447" s="569"/>
      <c r="Y447" s="568"/>
      <c r="Z447" s="567"/>
      <c r="AA447" s="568"/>
      <c r="AB447" s="567"/>
      <c r="AC447" s="568"/>
      <c r="AD447" s="567"/>
      <c r="AE447" s="568"/>
      <c r="AF447" s="601">
        <f t="shared" si="129"/>
        <v>0</v>
      </c>
      <c r="AG447" s="602">
        <f t="shared" si="130"/>
        <v>0</v>
      </c>
      <c r="AH447" s="603">
        <f t="shared" si="131"/>
        <v>0</v>
      </c>
      <c r="AI447" s="603">
        <f t="shared" si="132"/>
        <v>0</v>
      </c>
      <c r="AJ447" s="567"/>
      <c r="AK447" s="568"/>
      <c r="AL447" s="601">
        <f t="shared" si="133"/>
        <v>0</v>
      </c>
      <c r="AM447" s="604">
        <f t="shared" si="134"/>
        <v>0</v>
      </c>
      <c r="AN447" s="570"/>
      <c r="AO447" s="571"/>
      <c r="AP447" s="567"/>
      <c r="AQ447" s="571"/>
      <c r="AR447" s="567"/>
      <c r="AS447" s="571"/>
      <c r="AT447" s="567"/>
      <c r="AU447" s="571"/>
      <c r="AV447" s="601">
        <f t="shared" si="135"/>
        <v>0</v>
      </c>
      <c r="AW447" s="609">
        <f t="shared" si="136"/>
        <v>0</v>
      </c>
      <c r="AX447" s="603">
        <f t="shared" si="137"/>
        <v>0</v>
      </c>
      <c r="AY447" s="610">
        <f t="shared" si="138"/>
        <v>0</v>
      </c>
      <c r="AZ447" s="611">
        <f t="shared" si="139"/>
        <v>10315.6</v>
      </c>
      <c r="BA447" s="603">
        <f t="shared" si="140"/>
        <v>10147.363333333335</v>
      </c>
    </row>
    <row r="448" spans="1:53">
      <c r="A448" s="574" t="s">
        <v>199</v>
      </c>
      <c r="B448" s="564" t="s">
        <v>942</v>
      </c>
      <c r="C448" s="579" t="s">
        <v>793</v>
      </c>
      <c r="D448" s="563">
        <v>218885</v>
      </c>
      <c r="E448" s="580">
        <v>8</v>
      </c>
      <c r="F448" s="565" t="s">
        <v>52</v>
      </c>
      <c r="G448" s="566" t="s">
        <v>52</v>
      </c>
      <c r="H448" s="567"/>
      <c r="I448" s="568"/>
      <c r="J448" s="567">
        <v>73615</v>
      </c>
      <c r="K448" s="568">
        <v>74788.17</v>
      </c>
      <c r="L448" s="567">
        <v>27609</v>
      </c>
      <c r="M448" s="568">
        <v>28096.77</v>
      </c>
      <c r="N448" s="567">
        <v>81583</v>
      </c>
      <c r="O448" s="568">
        <v>79476.34</v>
      </c>
      <c r="P448" s="601">
        <f t="shared" si="123"/>
        <v>182807</v>
      </c>
      <c r="Q448" s="602">
        <f t="shared" si="124"/>
        <v>6093.5666666666666</v>
      </c>
      <c r="R448" s="603">
        <f t="shared" si="125"/>
        <v>182361.28</v>
      </c>
      <c r="S448" s="604">
        <f t="shared" si="126"/>
        <v>6078.7093333333332</v>
      </c>
      <c r="T448" s="567">
        <v>5457</v>
      </c>
      <c r="U448" s="568">
        <v>5385</v>
      </c>
      <c r="V448" s="601">
        <f t="shared" si="127"/>
        <v>182807</v>
      </c>
      <c r="W448" s="605">
        <f t="shared" si="128"/>
        <v>182361.28</v>
      </c>
      <c r="X448" s="569"/>
      <c r="Y448" s="568"/>
      <c r="Z448" s="567"/>
      <c r="AA448" s="568"/>
      <c r="AB448" s="567"/>
      <c r="AC448" s="568"/>
      <c r="AD448" s="567"/>
      <c r="AE448" s="568"/>
      <c r="AF448" s="601">
        <f t="shared" si="129"/>
        <v>0</v>
      </c>
      <c r="AG448" s="602">
        <f t="shared" si="130"/>
        <v>0</v>
      </c>
      <c r="AH448" s="603">
        <f t="shared" si="131"/>
        <v>0</v>
      </c>
      <c r="AI448" s="603">
        <f t="shared" si="132"/>
        <v>0</v>
      </c>
      <c r="AJ448" s="567"/>
      <c r="AK448" s="568"/>
      <c r="AL448" s="601">
        <f t="shared" si="133"/>
        <v>0</v>
      </c>
      <c r="AM448" s="604">
        <f t="shared" si="134"/>
        <v>0</v>
      </c>
      <c r="AN448" s="570"/>
      <c r="AO448" s="571"/>
      <c r="AP448" s="567"/>
      <c r="AQ448" s="571"/>
      <c r="AR448" s="567"/>
      <c r="AS448" s="571"/>
      <c r="AT448" s="567"/>
      <c r="AU448" s="571"/>
      <c r="AV448" s="601">
        <f t="shared" si="135"/>
        <v>0</v>
      </c>
      <c r="AW448" s="609">
        <f t="shared" si="136"/>
        <v>0</v>
      </c>
      <c r="AX448" s="603">
        <f t="shared" si="137"/>
        <v>0</v>
      </c>
      <c r="AY448" s="610">
        <f t="shared" si="138"/>
        <v>0</v>
      </c>
      <c r="AZ448" s="611">
        <f t="shared" si="139"/>
        <v>6093.5666666666666</v>
      </c>
      <c r="BA448" s="603">
        <f t="shared" si="140"/>
        <v>6078.7093333333332</v>
      </c>
    </row>
    <row r="449" spans="1:53">
      <c r="A449" s="574" t="s">
        <v>199</v>
      </c>
      <c r="B449" s="564" t="s">
        <v>934</v>
      </c>
      <c r="C449" s="578"/>
      <c r="D449" s="563">
        <v>218894</v>
      </c>
      <c r="E449" s="581">
        <v>8</v>
      </c>
      <c r="F449" s="565" t="s">
        <v>52</v>
      </c>
      <c r="G449" s="566" t="s">
        <v>52</v>
      </c>
      <c r="H449" s="567"/>
      <c r="I449" s="568"/>
      <c r="J449" s="567">
        <v>147296</v>
      </c>
      <c r="K449" s="568">
        <v>153372.26999999999</v>
      </c>
      <c r="L449" s="567">
        <v>73125</v>
      </c>
      <c r="M449" s="568">
        <v>76076.94</v>
      </c>
      <c r="N449" s="567">
        <v>157759</v>
      </c>
      <c r="O449" s="568">
        <v>166684.25999999998</v>
      </c>
      <c r="P449" s="601">
        <f t="shared" si="123"/>
        <v>378180</v>
      </c>
      <c r="Q449" s="602">
        <f t="shared" si="124"/>
        <v>12606</v>
      </c>
      <c r="R449" s="603">
        <f t="shared" si="125"/>
        <v>396133.47</v>
      </c>
      <c r="S449" s="604">
        <f t="shared" si="126"/>
        <v>13204.448999999999</v>
      </c>
      <c r="T449" s="567">
        <v>7364</v>
      </c>
      <c r="U449" s="568">
        <v>7716</v>
      </c>
      <c r="V449" s="601">
        <f t="shared" si="127"/>
        <v>378180</v>
      </c>
      <c r="W449" s="605">
        <f t="shared" si="128"/>
        <v>396133.47</v>
      </c>
      <c r="X449" s="569"/>
      <c r="Y449" s="568"/>
      <c r="Z449" s="567"/>
      <c r="AA449" s="568"/>
      <c r="AB449" s="567"/>
      <c r="AC449" s="568"/>
      <c r="AD449" s="567"/>
      <c r="AE449" s="568"/>
      <c r="AF449" s="601">
        <f t="shared" si="129"/>
        <v>0</v>
      </c>
      <c r="AG449" s="602">
        <f t="shared" si="130"/>
        <v>0</v>
      </c>
      <c r="AH449" s="603">
        <f t="shared" si="131"/>
        <v>0</v>
      </c>
      <c r="AI449" s="603">
        <f t="shared" si="132"/>
        <v>0</v>
      </c>
      <c r="AJ449" s="567"/>
      <c r="AK449" s="568"/>
      <c r="AL449" s="601">
        <f t="shared" si="133"/>
        <v>0</v>
      </c>
      <c r="AM449" s="604">
        <f t="shared" si="134"/>
        <v>0</v>
      </c>
      <c r="AN449" s="570"/>
      <c r="AO449" s="571"/>
      <c r="AP449" s="567"/>
      <c r="AQ449" s="571"/>
      <c r="AR449" s="567"/>
      <c r="AS449" s="571"/>
      <c r="AT449" s="567"/>
      <c r="AU449" s="571"/>
      <c r="AV449" s="601">
        <f t="shared" si="135"/>
        <v>0</v>
      </c>
      <c r="AW449" s="609">
        <f t="shared" si="136"/>
        <v>0</v>
      </c>
      <c r="AX449" s="603">
        <f t="shared" si="137"/>
        <v>0</v>
      </c>
      <c r="AY449" s="610">
        <f t="shared" si="138"/>
        <v>0</v>
      </c>
      <c r="AZ449" s="611">
        <f t="shared" si="139"/>
        <v>12606</v>
      </c>
      <c r="BA449" s="603">
        <f t="shared" si="140"/>
        <v>13204.448999999999</v>
      </c>
    </row>
    <row r="450" spans="1:53">
      <c r="A450" s="574" t="s">
        <v>199</v>
      </c>
      <c r="B450" s="564" t="s">
        <v>935</v>
      </c>
      <c r="C450" s="576"/>
      <c r="D450" s="563">
        <v>217615</v>
      </c>
      <c r="E450" s="581">
        <v>9</v>
      </c>
      <c r="F450" s="565" t="s">
        <v>52</v>
      </c>
      <c r="G450" s="566" t="s">
        <v>52</v>
      </c>
      <c r="H450" s="567"/>
      <c r="I450" s="568"/>
      <c r="J450" s="567">
        <v>33634</v>
      </c>
      <c r="K450" s="568">
        <v>32334.39</v>
      </c>
      <c r="L450" s="567">
        <v>14576</v>
      </c>
      <c r="M450" s="568">
        <v>11698.03</v>
      </c>
      <c r="N450" s="567">
        <v>34972</v>
      </c>
      <c r="O450" s="568">
        <v>34484.67</v>
      </c>
      <c r="P450" s="601">
        <f t="shared" ref="P450:P513" si="141">SUM(H450,J450,L450,N450)</f>
        <v>83182</v>
      </c>
      <c r="Q450" s="602">
        <f t="shared" ref="Q450:Q513" si="142">+P450/30</f>
        <v>2772.7333333333331</v>
      </c>
      <c r="R450" s="603">
        <f t="shared" ref="R450:R513" si="143">SUM(I450,K450,M450,O450)</f>
        <v>78517.09</v>
      </c>
      <c r="S450" s="604">
        <f t="shared" ref="S450:S513" si="144">+R450/30</f>
        <v>2617.2363333333333</v>
      </c>
      <c r="T450" s="567">
        <v>409</v>
      </c>
      <c r="U450" s="568">
        <v>580</v>
      </c>
      <c r="V450" s="601">
        <f t="shared" ref="V450:V513" si="145">IF(ISBLANK(T450),0,P450)</f>
        <v>83182</v>
      </c>
      <c r="W450" s="605">
        <f t="shared" ref="W450:W513" si="146">IF(ISBLANK(U450),0,R450)</f>
        <v>78517.09</v>
      </c>
      <c r="X450" s="569"/>
      <c r="Y450" s="568"/>
      <c r="Z450" s="567"/>
      <c r="AA450" s="568"/>
      <c r="AB450" s="567"/>
      <c r="AC450" s="568"/>
      <c r="AD450" s="567"/>
      <c r="AE450" s="568"/>
      <c r="AF450" s="601">
        <f t="shared" ref="AF450:AF513" si="147">SUM(X450,Z450,AB450,AD450)</f>
        <v>0</v>
      </c>
      <c r="AG450" s="602">
        <f t="shared" ref="AG450:AG513" si="148">+AF450/900</f>
        <v>0</v>
      </c>
      <c r="AH450" s="603">
        <f t="shared" ref="AH450:AH513" si="149">SUM(Y450,AA450,AC450,AE450)</f>
        <v>0</v>
      </c>
      <c r="AI450" s="603">
        <f t="shared" ref="AI450:AI513" si="150">+AH450/900</f>
        <v>0</v>
      </c>
      <c r="AJ450" s="567"/>
      <c r="AK450" s="568"/>
      <c r="AL450" s="601">
        <f t="shared" ref="AL450:AL513" si="151">IF(ISBLANK(AJ450),0,AF450)</f>
        <v>0</v>
      </c>
      <c r="AM450" s="604">
        <f t="shared" ref="AM450:AM513" si="152">IF(ISBLANK(AK450),0,AH450)</f>
        <v>0</v>
      </c>
      <c r="AN450" s="570"/>
      <c r="AO450" s="571"/>
      <c r="AP450" s="567"/>
      <c r="AQ450" s="571"/>
      <c r="AR450" s="567"/>
      <c r="AS450" s="571"/>
      <c r="AT450" s="567"/>
      <c r="AU450" s="571"/>
      <c r="AV450" s="601">
        <f t="shared" ref="AV450:AV513" si="153">SUM(AN450,AP450,AR450,AT450)</f>
        <v>0</v>
      </c>
      <c r="AW450" s="609">
        <f t="shared" ref="AW450:AW513" si="154">+AV450/24</f>
        <v>0</v>
      </c>
      <c r="AX450" s="603">
        <f t="shared" ref="AX450:AX513" si="155">SUM(AO450,AQ450,AS450,AU450)</f>
        <v>0</v>
      </c>
      <c r="AY450" s="610">
        <f t="shared" ref="AY450:AY513" si="156">+AX450/24</f>
        <v>0</v>
      </c>
      <c r="AZ450" s="611">
        <f t="shared" ref="AZ450:AZ513" si="157">SUM(Q450,AG450,AW450)</f>
        <v>2772.7333333333331</v>
      </c>
      <c r="BA450" s="603">
        <f t="shared" ref="BA450:BA513" si="158">SUM(S450,AI450,AY450)</f>
        <v>2617.2363333333333</v>
      </c>
    </row>
    <row r="451" spans="1:53">
      <c r="A451" s="574" t="s">
        <v>199</v>
      </c>
      <c r="B451" s="564" t="s">
        <v>936</v>
      </c>
      <c r="C451" s="578"/>
      <c r="D451" s="563">
        <v>218858</v>
      </c>
      <c r="E451" s="581">
        <v>9</v>
      </c>
      <c r="F451" s="565" t="s">
        <v>52</v>
      </c>
      <c r="G451" s="566" t="s">
        <v>52</v>
      </c>
      <c r="H451" s="567"/>
      <c r="I451" s="568"/>
      <c r="J451" s="567">
        <v>37893</v>
      </c>
      <c r="K451" s="568">
        <v>37693.81</v>
      </c>
      <c r="L451" s="567">
        <v>18427</v>
      </c>
      <c r="M451" s="568">
        <v>17233.2</v>
      </c>
      <c r="N451" s="567">
        <v>40584</v>
      </c>
      <c r="O451" s="568">
        <v>41682.21</v>
      </c>
      <c r="P451" s="601">
        <f t="shared" si="141"/>
        <v>96904</v>
      </c>
      <c r="Q451" s="602">
        <f t="shared" si="142"/>
        <v>3230.1333333333332</v>
      </c>
      <c r="R451" s="603">
        <f t="shared" si="143"/>
        <v>96609.22</v>
      </c>
      <c r="S451" s="604">
        <f t="shared" si="144"/>
        <v>3220.3073333333332</v>
      </c>
      <c r="T451" s="567">
        <v>2965</v>
      </c>
      <c r="U451" s="568">
        <v>2965</v>
      </c>
      <c r="V451" s="601">
        <f t="shared" si="145"/>
        <v>96904</v>
      </c>
      <c r="W451" s="605">
        <f t="shared" si="146"/>
        <v>96609.22</v>
      </c>
      <c r="X451" s="569"/>
      <c r="Y451" s="568"/>
      <c r="Z451" s="567"/>
      <c r="AA451" s="568"/>
      <c r="AB451" s="567"/>
      <c r="AC451" s="568"/>
      <c r="AD451" s="567"/>
      <c r="AE451" s="568"/>
      <c r="AF451" s="601">
        <f t="shared" si="147"/>
        <v>0</v>
      </c>
      <c r="AG451" s="602">
        <f t="shared" si="148"/>
        <v>0</v>
      </c>
      <c r="AH451" s="603">
        <f t="shared" si="149"/>
        <v>0</v>
      </c>
      <c r="AI451" s="603">
        <f t="shared" si="150"/>
        <v>0</v>
      </c>
      <c r="AJ451" s="567"/>
      <c r="AK451" s="568"/>
      <c r="AL451" s="601">
        <f t="shared" si="151"/>
        <v>0</v>
      </c>
      <c r="AM451" s="604">
        <f t="shared" si="152"/>
        <v>0</v>
      </c>
      <c r="AN451" s="570"/>
      <c r="AO451" s="571"/>
      <c r="AP451" s="567"/>
      <c r="AQ451" s="571"/>
      <c r="AR451" s="567"/>
      <c r="AS451" s="571"/>
      <c r="AT451" s="567"/>
      <c r="AU451" s="571"/>
      <c r="AV451" s="601">
        <f t="shared" si="153"/>
        <v>0</v>
      </c>
      <c r="AW451" s="609">
        <f t="shared" si="154"/>
        <v>0</v>
      </c>
      <c r="AX451" s="603">
        <f t="shared" si="155"/>
        <v>0</v>
      </c>
      <c r="AY451" s="610">
        <f t="shared" si="156"/>
        <v>0</v>
      </c>
      <c r="AZ451" s="611">
        <f t="shared" si="157"/>
        <v>3230.1333333333332</v>
      </c>
      <c r="BA451" s="603">
        <f t="shared" si="158"/>
        <v>3220.3073333333332</v>
      </c>
    </row>
    <row r="452" spans="1:53">
      <c r="A452" s="574" t="s">
        <v>199</v>
      </c>
      <c r="B452" s="564" t="s">
        <v>937</v>
      </c>
      <c r="C452" s="577" t="s">
        <v>952</v>
      </c>
      <c r="D452" s="563">
        <v>218025</v>
      </c>
      <c r="E452" s="581">
        <v>9</v>
      </c>
      <c r="F452" s="565" t="s">
        <v>52</v>
      </c>
      <c r="G452" s="566" t="s">
        <v>52</v>
      </c>
      <c r="H452" s="567"/>
      <c r="I452" s="568"/>
      <c r="J452" s="567">
        <v>60325</v>
      </c>
      <c r="K452" s="568">
        <v>62769.43</v>
      </c>
      <c r="L452" s="567">
        <v>26603</v>
      </c>
      <c r="M452" s="568">
        <v>26266.17</v>
      </c>
      <c r="N452" s="567">
        <v>66526</v>
      </c>
      <c r="O452" s="568">
        <v>66154.420000000013</v>
      </c>
      <c r="P452" s="601">
        <f t="shared" si="141"/>
        <v>153454</v>
      </c>
      <c r="Q452" s="602">
        <f t="shared" si="142"/>
        <v>5115.1333333333332</v>
      </c>
      <c r="R452" s="603">
        <f t="shared" si="143"/>
        <v>155190.02000000002</v>
      </c>
      <c r="S452" s="604">
        <f t="shared" si="144"/>
        <v>5173.0006666666677</v>
      </c>
      <c r="T452" s="567">
        <v>874</v>
      </c>
      <c r="U452" s="568">
        <v>883</v>
      </c>
      <c r="V452" s="601">
        <f t="shared" si="145"/>
        <v>153454</v>
      </c>
      <c r="W452" s="605">
        <f t="shared" si="146"/>
        <v>155190.02000000002</v>
      </c>
      <c r="X452" s="569"/>
      <c r="Y452" s="568"/>
      <c r="Z452" s="567"/>
      <c r="AA452" s="568"/>
      <c r="AB452" s="567"/>
      <c r="AC452" s="568"/>
      <c r="AD452" s="567"/>
      <c r="AE452" s="568"/>
      <c r="AF452" s="601">
        <f t="shared" si="147"/>
        <v>0</v>
      </c>
      <c r="AG452" s="602">
        <f t="shared" si="148"/>
        <v>0</v>
      </c>
      <c r="AH452" s="603">
        <f t="shared" si="149"/>
        <v>0</v>
      </c>
      <c r="AI452" s="603">
        <f t="shared" si="150"/>
        <v>0</v>
      </c>
      <c r="AJ452" s="567"/>
      <c r="AK452" s="568"/>
      <c r="AL452" s="601">
        <f t="shared" si="151"/>
        <v>0</v>
      </c>
      <c r="AM452" s="604">
        <f t="shared" si="152"/>
        <v>0</v>
      </c>
      <c r="AN452" s="570"/>
      <c r="AO452" s="571"/>
      <c r="AP452" s="567"/>
      <c r="AQ452" s="571"/>
      <c r="AR452" s="567"/>
      <c r="AS452" s="571"/>
      <c r="AT452" s="567"/>
      <c r="AU452" s="571"/>
      <c r="AV452" s="601">
        <f t="shared" si="153"/>
        <v>0</v>
      </c>
      <c r="AW452" s="609">
        <f t="shared" si="154"/>
        <v>0</v>
      </c>
      <c r="AX452" s="603">
        <f t="shared" si="155"/>
        <v>0</v>
      </c>
      <c r="AY452" s="610">
        <f t="shared" si="156"/>
        <v>0</v>
      </c>
      <c r="AZ452" s="611">
        <f t="shared" si="157"/>
        <v>5115.1333333333332</v>
      </c>
      <c r="BA452" s="603">
        <f t="shared" si="158"/>
        <v>5173.0006666666677</v>
      </c>
    </row>
    <row r="453" spans="1:53">
      <c r="A453" s="574" t="s">
        <v>199</v>
      </c>
      <c r="B453" s="564" t="s">
        <v>939</v>
      </c>
      <c r="C453" s="578"/>
      <c r="D453" s="563">
        <v>218487</v>
      </c>
      <c r="E453" s="581">
        <v>9</v>
      </c>
      <c r="F453" s="565" t="s">
        <v>52</v>
      </c>
      <c r="G453" s="566" t="s">
        <v>52</v>
      </c>
      <c r="H453" s="567"/>
      <c r="I453" s="568"/>
      <c r="J453" s="567">
        <v>30728</v>
      </c>
      <c r="K453" s="568">
        <v>29415.019999999997</v>
      </c>
      <c r="L453" s="567">
        <v>12816</v>
      </c>
      <c r="M453" s="568">
        <v>12361.019999999999</v>
      </c>
      <c r="N453" s="567">
        <v>33419</v>
      </c>
      <c r="O453" s="568">
        <v>29616.820000000003</v>
      </c>
      <c r="P453" s="601">
        <f t="shared" si="141"/>
        <v>76963</v>
      </c>
      <c r="Q453" s="602">
        <f t="shared" si="142"/>
        <v>2565.4333333333334</v>
      </c>
      <c r="R453" s="603">
        <f t="shared" si="143"/>
        <v>71392.86</v>
      </c>
      <c r="S453" s="604">
        <f t="shared" si="144"/>
        <v>2379.7620000000002</v>
      </c>
      <c r="T453" s="567">
        <v>4197</v>
      </c>
      <c r="U453" s="568">
        <v>5214</v>
      </c>
      <c r="V453" s="601">
        <f t="shared" si="145"/>
        <v>76963</v>
      </c>
      <c r="W453" s="605">
        <f t="shared" si="146"/>
        <v>71392.86</v>
      </c>
      <c r="X453" s="569"/>
      <c r="Y453" s="568"/>
      <c r="Z453" s="567"/>
      <c r="AA453" s="568"/>
      <c r="AB453" s="567"/>
      <c r="AC453" s="568"/>
      <c r="AD453" s="567"/>
      <c r="AE453" s="568"/>
      <c r="AF453" s="601">
        <f t="shared" si="147"/>
        <v>0</v>
      </c>
      <c r="AG453" s="602">
        <f t="shared" si="148"/>
        <v>0</v>
      </c>
      <c r="AH453" s="603">
        <f t="shared" si="149"/>
        <v>0</v>
      </c>
      <c r="AI453" s="603">
        <f t="shared" si="150"/>
        <v>0</v>
      </c>
      <c r="AJ453" s="567"/>
      <c r="AK453" s="568"/>
      <c r="AL453" s="601">
        <f t="shared" si="151"/>
        <v>0</v>
      </c>
      <c r="AM453" s="604">
        <f t="shared" si="152"/>
        <v>0</v>
      </c>
      <c r="AN453" s="570"/>
      <c r="AO453" s="571"/>
      <c r="AP453" s="567"/>
      <c r="AQ453" s="571"/>
      <c r="AR453" s="567"/>
      <c r="AS453" s="571"/>
      <c r="AT453" s="567"/>
      <c r="AU453" s="571"/>
      <c r="AV453" s="601">
        <f t="shared" si="153"/>
        <v>0</v>
      </c>
      <c r="AW453" s="609">
        <f t="shared" si="154"/>
        <v>0</v>
      </c>
      <c r="AX453" s="603">
        <f t="shared" si="155"/>
        <v>0</v>
      </c>
      <c r="AY453" s="610">
        <f t="shared" si="156"/>
        <v>0</v>
      </c>
      <c r="AZ453" s="611">
        <f t="shared" si="157"/>
        <v>2565.4333333333334</v>
      </c>
      <c r="BA453" s="603">
        <f t="shared" si="158"/>
        <v>2379.7620000000002</v>
      </c>
    </row>
    <row r="454" spans="1:53">
      <c r="A454" s="574" t="s">
        <v>199</v>
      </c>
      <c r="B454" s="564" t="s">
        <v>940</v>
      </c>
      <c r="C454" s="577" t="s">
        <v>952</v>
      </c>
      <c r="D454" s="563">
        <v>218520</v>
      </c>
      <c r="E454" s="581">
        <v>9</v>
      </c>
      <c r="F454" s="565" t="s">
        <v>52</v>
      </c>
      <c r="G454" s="566" t="s">
        <v>52</v>
      </c>
      <c r="H454" s="567"/>
      <c r="I454" s="568"/>
      <c r="J454" s="567">
        <v>60582</v>
      </c>
      <c r="K454" s="568">
        <v>56429.969999999994</v>
      </c>
      <c r="L454" s="567">
        <v>30180</v>
      </c>
      <c r="M454" s="568">
        <v>29623.039999999997</v>
      </c>
      <c r="N454" s="567">
        <v>65274</v>
      </c>
      <c r="O454" s="568">
        <v>65603.86</v>
      </c>
      <c r="P454" s="601">
        <f t="shared" si="141"/>
        <v>156036</v>
      </c>
      <c r="Q454" s="602">
        <f t="shared" si="142"/>
        <v>5201.2</v>
      </c>
      <c r="R454" s="603">
        <f t="shared" si="143"/>
        <v>151656.87</v>
      </c>
      <c r="S454" s="604">
        <f t="shared" si="144"/>
        <v>5055.2290000000003</v>
      </c>
      <c r="T454" s="567">
        <v>7655</v>
      </c>
      <c r="U454" s="568">
        <v>10116</v>
      </c>
      <c r="V454" s="601">
        <f t="shared" si="145"/>
        <v>156036</v>
      </c>
      <c r="W454" s="605">
        <f t="shared" si="146"/>
        <v>151656.87</v>
      </c>
      <c r="X454" s="569"/>
      <c r="Y454" s="568"/>
      <c r="Z454" s="567"/>
      <c r="AA454" s="568"/>
      <c r="AB454" s="567"/>
      <c r="AC454" s="568"/>
      <c r="AD454" s="567"/>
      <c r="AE454" s="568"/>
      <c r="AF454" s="601">
        <f t="shared" si="147"/>
        <v>0</v>
      </c>
      <c r="AG454" s="602">
        <f t="shared" si="148"/>
        <v>0</v>
      </c>
      <c r="AH454" s="603">
        <f t="shared" si="149"/>
        <v>0</v>
      </c>
      <c r="AI454" s="603">
        <f t="shared" si="150"/>
        <v>0</v>
      </c>
      <c r="AJ454" s="567"/>
      <c r="AK454" s="568"/>
      <c r="AL454" s="601">
        <f t="shared" si="151"/>
        <v>0</v>
      </c>
      <c r="AM454" s="604">
        <f t="shared" si="152"/>
        <v>0</v>
      </c>
      <c r="AN454" s="570"/>
      <c r="AO454" s="571"/>
      <c r="AP454" s="567"/>
      <c r="AQ454" s="571"/>
      <c r="AR454" s="567"/>
      <c r="AS454" s="571"/>
      <c r="AT454" s="567"/>
      <c r="AU454" s="571"/>
      <c r="AV454" s="601">
        <f t="shared" si="153"/>
        <v>0</v>
      </c>
      <c r="AW454" s="609">
        <f t="shared" si="154"/>
        <v>0</v>
      </c>
      <c r="AX454" s="603">
        <f t="shared" si="155"/>
        <v>0</v>
      </c>
      <c r="AY454" s="610">
        <f t="shared" si="156"/>
        <v>0</v>
      </c>
      <c r="AZ454" s="611">
        <f t="shared" si="157"/>
        <v>5201.2</v>
      </c>
      <c r="BA454" s="603">
        <f t="shared" si="158"/>
        <v>5055.2290000000003</v>
      </c>
    </row>
    <row r="455" spans="1:53">
      <c r="A455" s="574" t="s">
        <v>199</v>
      </c>
      <c r="B455" s="564" t="s">
        <v>941</v>
      </c>
      <c r="C455" s="577"/>
      <c r="D455" s="563">
        <v>218830</v>
      </c>
      <c r="E455" s="581">
        <v>9</v>
      </c>
      <c r="F455" s="565" t="s">
        <v>52</v>
      </c>
      <c r="G455" s="566" t="s">
        <v>52</v>
      </c>
      <c r="H455" s="567"/>
      <c r="I455" s="568"/>
      <c r="J455" s="567">
        <v>60296</v>
      </c>
      <c r="K455" s="568">
        <v>59062.23</v>
      </c>
      <c r="L455" s="567">
        <v>26081</v>
      </c>
      <c r="M455" s="568">
        <v>24762.95</v>
      </c>
      <c r="N455" s="567">
        <v>64311</v>
      </c>
      <c r="O455" s="568">
        <v>61544.94</v>
      </c>
      <c r="P455" s="601">
        <f t="shared" si="141"/>
        <v>150688</v>
      </c>
      <c r="Q455" s="602">
        <f t="shared" si="142"/>
        <v>5022.9333333333334</v>
      </c>
      <c r="R455" s="603">
        <f t="shared" si="143"/>
        <v>145370.12</v>
      </c>
      <c r="S455" s="604">
        <f t="shared" si="144"/>
        <v>4845.6706666666669</v>
      </c>
      <c r="T455" s="567">
        <v>4261</v>
      </c>
      <c r="U455" s="568">
        <v>4306</v>
      </c>
      <c r="V455" s="601">
        <f t="shared" si="145"/>
        <v>150688</v>
      </c>
      <c r="W455" s="605">
        <f t="shared" si="146"/>
        <v>145370.12</v>
      </c>
      <c r="X455" s="569"/>
      <c r="Y455" s="568"/>
      <c r="Z455" s="567"/>
      <c r="AA455" s="568"/>
      <c r="AB455" s="567"/>
      <c r="AC455" s="568"/>
      <c r="AD455" s="567"/>
      <c r="AE455" s="568"/>
      <c r="AF455" s="601">
        <f t="shared" si="147"/>
        <v>0</v>
      </c>
      <c r="AG455" s="602">
        <f t="shared" si="148"/>
        <v>0</v>
      </c>
      <c r="AH455" s="603">
        <f t="shared" si="149"/>
        <v>0</v>
      </c>
      <c r="AI455" s="603">
        <f t="shared" si="150"/>
        <v>0</v>
      </c>
      <c r="AJ455" s="567"/>
      <c r="AK455" s="568"/>
      <c r="AL455" s="601">
        <f t="shared" si="151"/>
        <v>0</v>
      </c>
      <c r="AM455" s="604">
        <f t="shared" si="152"/>
        <v>0</v>
      </c>
      <c r="AN455" s="570"/>
      <c r="AO455" s="571"/>
      <c r="AP455" s="567"/>
      <c r="AQ455" s="571"/>
      <c r="AR455" s="567"/>
      <c r="AS455" s="571"/>
      <c r="AT455" s="567"/>
      <c r="AU455" s="571"/>
      <c r="AV455" s="601">
        <f t="shared" si="153"/>
        <v>0</v>
      </c>
      <c r="AW455" s="609">
        <f t="shared" si="154"/>
        <v>0</v>
      </c>
      <c r="AX455" s="603">
        <f t="shared" si="155"/>
        <v>0</v>
      </c>
      <c r="AY455" s="610">
        <f t="shared" si="156"/>
        <v>0</v>
      </c>
      <c r="AZ455" s="611">
        <f t="shared" si="157"/>
        <v>5022.9333333333334</v>
      </c>
      <c r="BA455" s="603">
        <f t="shared" si="158"/>
        <v>4845.6706666666669</v>
      </c>
    </row>
    <row r="456" spans="1:53">
      <c r="A456" s="574" t="s">
        <v>199</v>
      </c>
      <c r="B456" s="564" t="s">
        <v>943</v>
      </c>
      <c r="C456" s="577"/>
      <c r="D456" s="563">
        <v>218991</v>
      </c>
      <c r="E456" s="581">
        <v>9</v>
      </c>
      <c r="F456" s="565" t="s">
        <v>52</v>
      </c>
      <c r="G456" s="566" t="s">
        <v>52</v>
      </c>
      <c r="H456" s="567"/>
      <c r="I456" s="568"/>
      <c r="J456" s="567">
        <v>61701</v>
      </c>
      <c r="K456" s="568">
        <v>58380.35</v>
      </c>
      <c r="L456" s="567">
        <v>29490</v>
      </c>
      <c r="M456" s="568">
        <v>25935.54</v>
      </c>
      <c r="N456" s="567">
        <v>65962</v>
      </c>
      <c r="O456" s="568">
        <v>58007.85</v>
      </c>
      <c r="P456" s="601">
        <f t="shared" si="141"/>
        <v>157153</v>
      </c>
      <c r="Q456" s="602">
        <f t="shared" si="142"/>
        <v>5238.4333333333334</v>
      </c>
      <c r="R456" s="603">
        <f t="shared" si="143"/>
        <v>142323.74</v>
      </c>
      <c r="S456" s="604">
        <f t="shared" si="144"/>
        <v>4744.1246666666666</v>
      </c>
      <c r="T456" s="567">
        <v>6942</v>
      </c>
      <c r="U456" s="568">
        <v>6061</v>
      </c>
      <c r="V456" s="601">
        <f t="shared" si="145"/>
        <v>157153</v>
      </c>
      <c r="W456" s="605">
        <f t="shared" si="146"/>
        <v>142323.74</v>
      </c>
      <c r="X456" s="569"/>
      <c r="Y456" s="568"/>
      <c r="Z456" s="567"/>
      <c r="AA456" s="568"/>
      <c r="AB456" s="567"/>
      <c r="AC456" s="568"/>
      <c r="AD456" s="567"/>
      <c r="AE456" s="568"/>
      <c r="AF456" s="601">
        <f t="shared" si="147"/>
        <v>0</v>
      </c>
      <c r="AG456" s="602">
        <f t="shared" si="148"/>
        <v>0</v>
      </c>
      <c r="AH456" s="603">
        <f t="shared" si="149"/>
        <v>0</v>
      </c>
      <c r="AI456" s="603">
        <f t="shared" si="150"/>
        <v>0</v>
      </c>
      <c r="AJ456" s="567"/>
      <c r="AK456" s="568"/>
      <c r="AL456" s="601">
        <f t="shared" si="151"/>
        <v>0</v>
      </c>
      <c r="AM456" s="604">
        <f t="shared" si="152"/>
        <v>0</v>
      </c>
      <c r="AN456" s="570"/>
      <c r="AO456" s="571"/>
      <c r="AP456" s="567"/>
      <c r="AQ456" s="571"/>
      <c r="AR456" s="567"/>
      <c r="AS456" s="571"/>
      <c r="AT456" s="567"/>
      <c r="AU456" s="571"/>
      <c r="AV456" s="601">
        <f t="shared" si="153"/>
        <v>0</v>
      </c>
      <c r="AW456" s="609">
        <f t="shared" si="154"/>
        <v>0</v>
      </c>
      <c r="AX456" s="603">
        <f t="shared" si="155"/>
        <v>0</v>
      </c>
      <c r="AY456" s="610">
        <f t="shared" si="156"/>
        <v>0</v>
      </c>
      <c r="AZ456" s="611">
        <f t="shared" si="157"/>
        <v>5238.4333333333334</v>
      </c>
      <c r="BA456" s="603">
        <f t="shared" si="158"/>
        <v>4744.1246666666666</v>
      </c>
    </row>
    <row r="457" spans="1:53">
      <c r="A457" s="574" t="s">
        <v>199</v>
      </c>
      <c r="B457" s="564" t="s">
        <v>944</v>
      </c>
      <c r="C457" s="578"/>
      <c r="D457" s="563">
        <v>217989</v>
      </c>
      <c r="E457" s="581">
        <v>10</v>
      </c>
      <c r="F457" s="565" t="s">
        <v>52</v>
      </c>
      <c r="G457" s="566" t="s">
        <v>52</v>
      </c>
      <c r="H457" s="567"/>
      <c r="I457" s="568"/>
      <c r="J457" s="567">
        <v>17192</v>
      </c>
      <c r="K457" s="568">
        <v>11987</v>
      </c>
      <c r="L457" s="567">
        <v>5273</v>
      </c>
      <c r="M457" s="568">
        <v>3736.42</v>
      </c>
      <c r="N457" s="567">
        <v>13967</v>
      </c>
      <c r="O457" s="568">
        <v>22499.91</v>
      </c>
      <c r="P457" s="601">
        <f t="shared" si="141"/>
        <v>36432</v>
      </c>
      <c r="Q457" s="602">
        <f t="shared" si="142"/>
        <v>1214.4000000000001</v>
      </c>
      <c r="R457" s="603">
        <f t="shared" si="143"/>
        <v>38223.33</v>
      </c>
      <c r="S457" s="604">
        <f t="shared" si="144"/>
        <v>1274.1110000000001</v>
      </c>
      <c r="T457" s="567"/>
      <c r="U457" s="568"/>
      <c r="V457" s="601">
        <f t="shared" si="145"/>
        <v>0</v>
      </c>
      <c r="W457" s="605">
        <f t="shared" si="146"/>
        <v>0</v>
      </c>
      <c r="X457" s="569"/>
      <c r="Y457" s="568"/>
      <c r="Z457" s="567"/>
      <c r="AA457" s="568"/>
      <c r="AB457" s="567"/>
      <c r="AC457" s="568"/>
      <c r="AD457" s="567"/>
      <c r="AE457" s="568"/>
      <c r="AF457" s="601">
        <f t="shared" si="147"/>
        <v>0</v>
      </c>
      <c r="AG457" s="602">
        <f t="shared" si="148"/>
        <v>0</v>
      </c>
      <c r="AH457" s="603">
        <f t="shared" si="149"/>
        <v>0</v>
      </c>
      <c r="AI457" s="603">
        <f t="shared" si="150"/>
        <v>0</v>
      </c>
      <c r="AJ457" s="567"/>
      <c r="AK457" s="568"/>
      <c r="AL457" s="601">
        <f t="shared" si="151"/>
        <v>0</v>
      </c>
      <c r="AM457" s="604">
        <f t="shared" si="152"/>
        <v>0</v>
      </c>
      <c r="AN457" s="570"/>
      <c r="AO457" s="571"/>
      <c r="AP457" s="567"/>
      <c r="AQ457" s="571"/>
      <c r="AR457" s="567"/>
      <c r="AS457" s="571"/>
      <c r="AT457" s="567"/>
      <c r="AU457" s="571"/>
      <c r="AV457" s="601">
        <f t="shared" si="153"/>
        <v>0</v>
      </c>
      <c r="AW457" s="609">
        <f t="shared" si="154"/>
        <v>0</v>
      </c>
      <c r="AX457" s="603">
        <f t="shared" si="155"/>
        <v>0</v>
      </c>
      <c r="AY457" s="610">
        <f t="shared" si="156"/>
        <v>0</v>
      </c>
      <c r="AZ457" s="611">
        <f t="shared" si="157"/>
        <v>1214.4000000000001</v>
      </c>
      <c r="BA457" s="603">
        <f t="shared" si="158"/>
        <v>1274.1110000000001</v>
      </c>
    </row>
    <row r="458" spans="1:53">
      <c r="A458" s="574" t="s">
        <v>199</v>
      </c>
      <c r="B458" s="564" t="s">
        <v>945</v>
      </c>
      <c r="C458" s="578"/>
      <c r="D458" s="563">
        <v>217837</v>
      </c>
      <c r="E458" s="581">
        <v>10</v>
      </c>
      <c r="F458" s="565" t="s">
        <v>52</v>
      </c>
      <c r="G458" s="566" t="s">
        <v>52</v>
      </c>
      <c r="H458" s="567"/>
      <c r="I458" s="568"/>
      <c r="J458" s="567">
        <v>12583</v>
      </c>
      <c r="K458" s="568">
        <v>13200.18</v>
      </c>
      <c r="L458" s="567">
        <v>6944</v>
      </c>
      <c r="M458" s="568">
        <v>6317.71</v>
      </c>
      <c r="N458" s="567">
        <v>14463</v>
      </c>
      <c r="O458" s="568">
        <v>14675.9</v>
      </c>
      <c r="P458" s="601">
        <f t="shared" si="141"/>
        <v>33990</v>
      </c>
      <c r="Q458" s="602">
        <f t="shared" si="142"/>
        <v>1133</v>
      </c>
      <c r="R458" s="603">
        <f t="shared" si="143"/>
        <v>34193.79</v>
      </c>
      <c r="S458" s="604">
        <f t="shared" si="144"/>
        <v>1139.7930000000001</v>
      </c>
      <c r="T458" s="567">
        <v>1154</v>
      </c>
      <c r="U458" s="568">
        <v>1077</v>
      </c>
      <c r="V458" s="601">
        <f t="shared" si="145"/>
        <v>33990</v>
      </c>
      <c r="W458" s="605">
        <f t="shared" si="146"/>
        <v>34193.79</v>
      </c>
      <c r="X458" s="569"/>
      <c r="Y458" s="568"/>
      <c r="Z458" s="567"/>
      <c r="AA458" s="568"/>
      <c r="AB458" s="567"/>
      <c r="AC458" s="568"/>
      <c r="AD458" s="567"/>
      <c r="AE458" s="568"/>
      <c r="AF458" s="601">
        <f t="shared" si="147"/>
        <v>0</v>
      </c>
      <c r="AG458" s="602">
        <f t="shared" si="148"/>
        <v>0</v>
      </c>
      <c r="AH458" s="603">
        <f t="shared" si="149"/>
        <v>0</v>
      </c>
      <c r="AI458" s="603">
        <f t="shared" si="150"/>
        <v>0</v>
      </c>
      <c r="AJ458" s="567"/>
      <c r="AK458" s="568"/>
      <c r="AL458" s="601">
        <f t="shared" si="151"/>
        <v>0</v>
      </c>
      <c r="AM458" s="604">
        <f t="shared" si="152"/>
        <v>0</v>
      </c>
      <c r="AN458" s="570"/>
      <c r="AO458" s="571"/>
      <c r="AP458" s="567"/>
      <c r="AQ458" s="571"/>
      <c r="AR458" s="567"/>
      <c r="AS458" s="571"/>
      <c r="AT458" s="567"/>
      <c r="AU458" s="571"/>
      <c r="AV458" s="601">
        <f t="shared" si="153"/>
        <v>0</v>
      </c>
      <c r="AW458" s="609">
        <f t="shared" si="154"/>
        <v>0</v>
      </c>
      <c r="AX458" s="603">
        <f t="shared" si="155"/>
        <v>0</v>
      </c>
      <c r="AY458" s="610">
        <f t="shared" si="156"/>
        <v>0</v>
      </c>
      <c r="AZ458" s="611">
        <f t="shared" si="157"/>
        <v>1133</v>
      </c>
      <c r="BA458" s="603">
        <f t="shared" si="158"/>
        <v>1139.7930000000001</v>
      </c>
    </row>
    <row r="459" spans="1:53">
      <c r="A459" s="574" t="s">
        <v>199</v>
      </c>
      <c r="B459" s="564" t="s">
        <v>946</v>
      </c>
      <c r="C459" s="578" t="s">
        <v>455</v>
      </c>
      <c r="D459" s="563">
        <v>217712</v>
      </c>
      <c r="E459" s="581">
        <v>10</v>
      </c>
      <c r="F459" s="565" t="s">
        <v>52</v>
      </c>
      <c r="G459" s="566" t="s">
        <v>52</v>
      </c>
      <c r="H459" s="567"/>
      <c r="I459" s="568"/>
      <c r="J459" s="567">
        <v>26215</v>
      </c>
      <c r="K459" s="568">
        <v>26277.49</v>
      </c>
      <c r="L459" s="567">
        <v>12288</v>
      </c>
      <c r="M459" s="568">
        <v>12049.68</v>
      </c>
      <c r="N459" s="567">
        <v>27625</v>
      </c>
      <c r="O459" s="568">
        <v>25182.799999999996</v>
      </c>
      <c r="P459" s="601">
        <f t="shared" si="141"/>
        <v>66128</v>
      </c>
      <c r="Q459" s="602">
        <f t="shared" si="142"/>
        <v>2204.2666666666669</v>
      </c>
      <c r="R459" s="603">
        <f t="shared" si="143"/>
        <v>63509.969999999994</v>
      </c>
      <c r="S459" s="604">
        <f t="shared" si="144"/>
        <v>2116.9989999999998</v>
      </c>
      <c r="T459" s="567">
        <v>2226</v>
      </c>
      <c r="U459" s="568">
        <v>3230</v>
      </c>
      <c r="V459" s="601">
        <f t="shared" si="145"/>
        <v>66128</v>
      </c>
      <c r="W459" s="605">
        <f t="shared" si="146"/>
        <v>63509.969999999994</v>
      </c>
      <c r="X459" s="569"/>
      <c r="Y459" s="568"/>
      <c r="Z459" s="567"/>
      <c r="AA459" s="568"/>
      <c r="AB459" s="567"/>
      <c r="AC459" s="568"/>
      <c r="AD459" s="567"/>
      <c r="AE459" s="568"/>
      <c r="AF459" s="601">
        <f t="shared" si="147"/>
        <v>0</v>
      </c>
      <c r="AG459" s="602">
        <f t="shared" si="148"/>
        <v>0</v>
      </c>
      <c r="AH459" s="603">
        <f t="shared" si="149"/>
        <v>0</v>
      </c>
      <c r="AI459" s="603">
        <f t="shared" si="150"/>
        <v>0</v>
      </c>
      <c r="AJ459" s="567"/>
      <c r="AK459" s="568"/>
      <c r="AL459" s="601">
        <f t="shared" si="151"/>
        <v>0</v>
      </c>
      <c r="AM459" s="604">
        <f t="shared" si="152"/>
        <v>0</v>
      </c>
      <c r="AN459" s="570"/>
      <c r="AO459" s="571"/>
      <c r="AP459" s="567"/>
      <c r="AQ459" s="571"/>
      <c r="AR459" s="567"/>
      <c r="AS459" s="571"/>
      <c r="AT459" s="567"/>
      <c r="AU459" s="571"/>
      <c r="AV459" s="601">
        <f t="shared" si="153"/>
        <v>0</v>
      </c>
      <c r="AW459" s="609">
        <f t="shared" si="154"/>
        <v>0</v>
      </c>
      <c r="AX459" s="603">
        <f t="shared" si="155"/>
        <v>0</v>
      </c>
      <c r="AY459" s="610">
        <f t="shared" si="156"/>
        <v>0</v>
      </c>
      <c r="AZ459" s="611">
        <f t="shared" si="157"/>
        <v>2204.2666666666669</v>
      </c>
      <c r="BA459" s="603">
        <f t="shared" si="158"/>
        <v>2116.9989999999998</v>
      </c>
    </row>
    <row r="460" spans="1:53">
      <c r="A460" s="574" t="s">
        <v>199</v>
      </c>
      <c r="B460" s="564" t="s">
        <v>947</v>
      </c>
      <c r="C460" s="578"/>
      <c r="D460" s="563">
        <v>218672</v>
      </c>
      <c r="E460" s="581">
        <v>10</v>
      </c>
      <c r="F460" s="565" t="s">
        <v>52</v>
      </c>
      <c r="G460" s="566" t="s">
        <v>52</v>
      </c>
      <c r="H460" s="567"/>
      <c r="I460" s="568"/>
      <c r="J460" s="567">
        <v>15332</v>
      </c>
      <c r="K460" s="568">
        <v>15347</v>
      </c>
      <c r="L460" s="567">
        <v>2472</v>
      </c>
      <c r="M460" s="568">
        <v>2302</v>
      </c>
      <c r="N460" s="567">
        <v>17143</v>
      </c>
      <c r="O460" s="568">
        <v>18890</v>
      </c>
      <c r="P460" s="601">
        <f t="shared" si="141"/>
        <v>34947</v>
      </c>
      <c r="Q460" s="602">
        <f t="shared" si="142"/>
        <v>1164.9000000000001</v>
      </c>
      <c r="R460" s="603">
        <f t="shared" si="143"/>
        <v>36539</v>
      </c>
      <c r="S460" s="604">
        <f t="shared" si="144"/>
        <v>1217.9666666666667</v>
      </c>
      <c r="T460" s="567">
        <v>2449</v>
      </c>
      <c r="U460" s="568">
        <v>3394</v>
      </c>
      <c r="V460" s="601">
        <f t="shared" si="145"/>
        <v>34947</v>
      </c>
      <c r="W460" s="605">
        <f t="shared" si="146"/>
        <v>36539</v>
      </c>
      <c r="X460" s="569"/>
      <c r="Y460" s="568"/>
      <c r="Z460" s="567"/>
      <c r="AA460" s="568"/>
      <c r="AB460" s="567"/>
      <c r="AC460" s="568"/>
      <c r="AD460" s="567"/>
      <c r="AE460" s="568"/>
      <c r="AF460" s="601">
        <f t="shared" si="147"/>
        <v>0</v>
      </c>
      <c r="AG460" s="602">
        <f t="shared" si="148"/>
        <v>0</v>
      </c>
      <c r="AH460" s="603">
        <f t="shared" si="149"/>
        <v>0</v>
      </c>
      <c r="AI460" s="603">
        <f t="shared" si="150"/>
        <v>0</v>
      </c>
      <c r="AJ460" s="567"/>
      <c r="AK460" s="568"/>
      <c r="AL460" s="601">
        <f t="shared" si="151"/>
        <v>0</v>
      </c>
      <c r="AM460" s="604">
        <f t="shared" si="152"/>
        <v>0</v>
      </c>
      <c r="AN460" s="570"/>
      <c r="AO460" s="571"/>
      <c r="AP460" s="567"/>
      <c r="AQ460" s="571"/>
      <c r="AR460" s="567"/>
      <c r="AS460" s="571"/>
      <c r="AT460" s="567"/>
      <c r="AU460" s="571"/>
      <c r="AV460" s="601">
        <f t="shared" si="153"/>
        <v>0</v>
      </c>
      <c r="AW460" s="609">
        <f t="shared" si="154"/>
        <v>0</v>
      </c>
      <c r="AX460" s="603">
        <f t="shared" si="155"/>
        <v>0</v>
      </c>
      <c r="AY460" s="610">
        <f t="shared" si="156"/>
        <v>0</v>
      </c>
      <c r="AZ460" s="611">
        <f t="shared" si="157"/>
        <v>1164.9000000000001</v>
      </c>
      <c r="BA460" s="603">
        <f t="shared" si="158"/>
        <v>1217.9666666666667</v>
      </c>
    </row>
    <row r="461" spans="1:53">
      <c r="A461" s="574" t="s">
        <v>199</v>
      </c>
      <c r="B461" s="564" t="s">
        <v>948</v>
      </c>
      <c r="C461" s="578"/>
      <c r="D461" s="563">
        <v>218681</v>
      </c>
      <c r="E461" s="581">
        <v>10</v>
      </c>
      <c r="F461" s="565" t="s">
        <v>52</v>
      </c>
      <c r="G461" s="566" t="s">
        <v>52</v>
      </c>
      <c r="H461" s="567"/>
      <c r="I461" s="568"/>
      <c r="J461" s="567">
        <v>9527</v>
      </c>
      <c r="K461" s="568">
        <v>11479</v>
      </c>
      <c r="L461" s="567">
        <v>1001</v>
      </c>
      <c r="M461" s="568">
        <v>1205</v>
      </c>
      <c r="N461" s="567">
        <v>11453</v>
      </c>
      <c r="O461" s="568">
        <v>11380</v>
      </c>
      <c r="P461" s="601">
        <f t="shared" si="141"/>
        <v>21981</v>
      </c>
      <c r="Q461" s="602">
        <f t="shared" si="142"/>
        <v>732.7</v>
      </c>
      <c r="R461" s="603">
        <f t="shared" si="143"/>
        <v>24064</v>
      </c>
      <c r="S461" s="604">
        <f t="shared" si="144"/>
        <v>802.13333333333333</v>
      </c>
      <c r="T461" s="567">
        <v>1282</v>
      </c>
      <c r="U461" s="568">
        <v>1403</v>
      </c>
      <c r="V461" s="601">
        <f t="shared" si="145"/>
        <v>21981</v>
      </c>
      <c r="W461" s="605">
        <f t="shared" si="146"/>
        <v>24064</v>
      </c>
      <c r="X461" s="569"/>
      <c r="Y461" s="568"/>
      <c r="Z461" s="567"/>
      <c r="AA461" s="568"/>
      <c r="AB461" s="567"/>
      <c r="AC461" s="568"/>
      <c r="AD461" s="567"/>
      <c r="AE461" s="568"/>
      <c r="AF461" s="601">
        <f t="shared" si="147"/>
        <v>0</v>
      </c>
      <c r="AG461" s="602">
        <f t="shared" si="148"/>
        <v>0</v>
      </c>
      <c r="AH461" s="603">
        <f t="shared" si="149"/>
        <v>0</v>
      </c>
      <c r="AI461" s="603">
        <f t="shared" si="150"/>
        <v>0</v>
      </c>
      <c r="AJ461" s="567"/>
      <c r="AK461" s="568"/>
      <c r="AL461" s="601">
        <f t="shared" si="151"/>
        <v>0</v>
      </c>
      <c r="AM461" s="604">
        <f t="shared" si="152"/>
        <v>0</v>
      </c>
      <c r="AN461" s="570"/>
      <c r="AO461" s="571"/>
      <c r="AP461" s="567"/>
      <c r="AQ461" s="571"/>
      <c r="AR461" s="567"/>
      <c r="AS461" s="571"/>
      <c r="AT461" s="567"/>
      <c r="AU461" s="571"/>
      <c r="AV461" s="601">
        <f t="shared" si="153"/>
        <v>0</v>
      </c>
      <c r="AW461" s="609">
        <f t="shared" si="154"/>
        <v>0</v>
      </c>
      <c r="AX461" s="603">
        <f t="shared" si="155"/>
        <v>0</v>
      </c>
      <c r="AY461" s="610">
        <f t="shared" si="156"/>
        <v>0</v>
      </c>
      <c r="AZ461" s="611">
        <f t="shared" si="157"/>
        <v>732.7</v>
      </c>
      <c r="BA461" s="603">
        <f t="shared" si="158"/>
        <v>802.13333333333333</v>
      </c>
    </row>
    <row r="462" spans="1:53">
      <c r="A462" s="574" t="s">
        <v>199</v>
      </c>
      <c r="B462" s="564" t="s">
        <v>949</v>
      </c>
      <c r="C462" s="578"/>
      <c r="D462" s="563">
        <v>218690</v>
      </c>
      <c r="E462" s="581">
        <v>10</v>
      </c>
      <c r="F462" s="565" t="s">
        <v>52</v>
      </c>
      <c r="G462" s="566" t="s">
        <v>52</v>
      </c>
      <c r="H462" s="567"/>
      <c r="I462" s="568"/>
      <c r="J462" s="567">
        <v>11691</v>
      </c>
      <c r="K462" s="568">
        <v>11564</v>
      </c>
      <c r="L462" s="567">
        <v>1518</v>
      </c>
      <c r="M462" s="568">
        <v>1439</v>
      </c>
      <c r="N462" s="567">
        <v>13166</v>
      </c>
      <c r="O462" s="568">
        <v>11625</v>
      </c>
      <c r="P462" s="601">
        <f t="shared" si="141"/>
        <v>26375</v>
      </c>
      <c r="Q462" s="602">
        <f t="shared" si="142"/>
        <v>879.16666666666663</v>
      </c>
      <c r="R462" s="603">
        <f t="shared" si="143"/>
        <v>24628</v>
      </c>
      <c r="S462" s="604">
        <f t="shared" si="144"/>
        <v>820.93333333333328</v>
      </c>
      <c r="T462" s="567">
        <v>3007</v>
      </c>
      <c r="U462" s="568">
        <v>3081</v>
      </c>
      <c r="V462" s="601">
        <f t="shared" si="145"/>
        <v>26375</v>
      </c>
      <c r="W462" s="605">
        <f t="shared" si="146"/>
        <v>24628</v>
      </c>
      <c r="X462" s="569"/>
      <c r="Y462" s="568"/>
      <c r="Z462" s="567"/>
      <c r="AA462" s="568"/>
      <c r="AB462" s="567"/>
      <c r="AC462" s="568"/>
      <c r="AD462" s="567"/>
      <c r="AE462" s="568"/>
      <c r="AF462" s="601">
        <f t="shared" si="147"/>
        <v>0</v>
      </c>
      <c r="AG462" s="602">
        <f t="shared" si="148"/>
        <v>0</v>
      </c>
      <c r="AH462" s="603">
        <f t="shared" si="149"/>
        <v>0</v>
      </c>
      <c r="AI462" s="603">
        <f t="shared" si="150"/>
        <v>0</v>
      </c>
      <c r="AJ462" s="567"/>
      <c r="AK462" s="568"/>
      <c r="AL462" s="601">
        <f t="shared" si="151"/>
        <v>0</v>
      </c>
      <c r="AM462" s="604">
        <f t="shared" si="152"/>
        <v>0</v>
      </c>
      <c r="AN462" s="570"/>
      <c r="AO462" s="571"/>
      <c r="AP462" s="567"/>
      <c r="AQ462" s="571"/>
      <c r="AR462" s="567"/>
      <c r="AS462" s="571"/>
      <c r="AT462" s="567"/>
      <c r="AU462" s="571"/>
      <c r="AV462" s="601">
        <f t="shared" si="153"/>
        <v>0</v>
      </c>
      <c r="AW462" s="609">
        <f t="shared" si="154"/>
        <v>0</v>
      </c>
      <c r="AX462" s="603">
        <f t="shared" si="155"/>
        <v>0</v>
      </c>
      <c r="AY462" s="610">
        <f t="shared" si="156"/>
        <v>0</v>
      </c>
      <c r="AZ462" s="611">
        <f t="shared" si="157"/>
        <v>879.16666666666663</v>
      </c>
      <c r="BA462" s="603">
        <f t="shared" si="158"/>
        <v>820.93333333333328</v>
      </c>
    </row>
    <row r="463" spans="1:53">
      <c r="A463" s="574" t="s">
        <v>199</v>
      </c>
      <c r="B463" s="564" t="s">
        <v>950</v>
      </c>
      <c r="C463" s="578"/>
      <c r="D463" s="563">
        <v>218706</v>
      </c>
      <c r="E463" s="581">
        <v>10</v>
      </c>
      <c r="F463" s="565" t="s">
        <v>52</v>
      </c>
      <c r="G463" s="566" t="s">
        <v>52</v>
      </c>
      <c r="H463" s="567"/>
      <c r="I463" s="568"/>
      <c r="J463" s="567">
        <v>4707</v>
      </c>
      <c r="K463" s="568">
        <v>5960</v>
      </c>
      <c r="L463" s="567">
        <v>575</v>
      </c>
      <c r="M463" s="568">
        <v>559</v>
      </c>
      <c r="N463" s="567">
        <v>5392</v>
      </c>
      <c r="O463" s="568">
        <v>5014</v>
      </c>
      <c r="P463" s="601">
        <f t="shared" si="141"/>
        <v>10674</v>
      </c>
      <c r="Q463" s="602">
        <f t="shared" si="142"/>
        <v>355.8</v>
      </c>
      <c r="R463" s="603">
        <f t="shared" si="143"/>
        <v>11533</v>
      </c>
      <c r="S463" s="604">
        <f t="shared" si="144"/>
        <v>384.43333333333334</v>
      </c>
      <c r="T463" s="567">
        <v>2643</v>
      </c>
      <c r="U463" s="568">
        <v>3503</v>
      </c>
      <c r="V463" s="601">
        <f t="shared" si="145"/>
        <v>10674</v>
      </c>
      <c r="W463" s="605">
        <f t="shared" si="146"/>
        <v>11533</v>
      </c>
      <c r="X463" s="569"/>
      <c r="Y463" s="568"/>
      <c r="Z463" s="567"/>
      <c r="AA463" s="568"/>
      <c r="AB463" s="567"/>
      <c r="AC463" s="568"/>
      <c r="AD463" s="567"/>
      <c r="AE463" s="568"/>
      <c r="AF463" s="601">
        <f t="shared" si="147"/>
        <v>0</v>
      </c>
      <c r="AG463" s="602">
        <f t="shared" si="148"/>
        <v>0</v>
      </c>
      <c r="AH463" s="603">
        <f t="shared" si="149"/>
        <v>0</v>
      </c>
      <c r="AI463" s="603">
        <f t="shared" si="150"/>
        <v>0</v>
      </c>
      <c r="AJ463" s="567"/>
      <c r="AK463" s="568"/>
      <c r="AL463" s="601">
        <f t="shared" si="151"/>
        <v>0</v>
      </c>
      <c r="AM463" s="604">
        <f t="shared" si="152"/>
        <v>0</v>
      </c>
      <c r="AN463" s="570"/>
      <c r="AO463" s="571"/>
      <c r="AP463" s="567"/>
      <c r="AQ463" s="571"/>
      <c r="AR463" s="567"/>
      <c r="AS463" s="571"/>
      <c r="AT463" s="567"/>
      <c r="AU463" s="571"/>
      <c r="AV463" s="601">
        <f t="shared" si="153"/>
        <v>0</v>
      </c>
      <c r="AW463" s="609">
        <f t="shared" si="154"/>
        <v>0</v>
      </c>
      <c r="AX463" s="603">
        <f t="shared" si="155"/>
        <v>0</v>
      </c>
      <c r="AY463" s="610">
        <f t="shared" si="156"/>
        <v>0</v>
      </c>
      <c r="AZ463" s="611">
        <f t="shared" si="157"/>
        <v>355.8</v>
      </c>
      <c r="BA463" s="603">
        <f t="shared" si="158"/>
        <v>384.43333333333334</v>
      </c>
    </row>
    <row r="464" spans="1:53">
      <c r="A464" s="574" t="s">
        <v>199</v>
      </c>
      <c r="B464" s="564" t="s">
        <v>951</v>
      </c>
      <c r="C464" s="578"/>
      <c r="D464" s="563">
        <v>218955</v>
      </c>
      <c r="E464" s="581">
        <v>10</v>
      </c>
      <c r="F464" s="565" t="s">
        <v>52</v>
      </c>
      <c r="G464" s="566" t="s">
        <v>52</v>
      </c>
      <c r="H464" s="567"/>
      <c r="I464" s="568"/>
      <c r="J464" s="567">
        <v>7733</v>
      </c>
      <c r="K464" s="568">
        <v>6513.01</v>
      </c>
      <c r="L464" s="567">
        <v>4432</v>
      </c>
      <c r="M464" s="568">
        <v>3810.52</v>
      </c>
      <c r="N464" s="567">
        <v>7254</v>
      </c>
      <c r="O464" s="568">
        <v>6284.96</v>
      </c>
      <c r="P464" s="601">
        <f t="shared" si="141"/>
        <v>19419</v>
      </c>
      <c r="Q464" s="602">
        <f t="shared" si="142"/>
        <v>647.29999999999995</v>
      </c>
      <c r="R464" s="603">
        <f t="shared" si="143"/>
        <v>16608.490000000002</v>
      </c>
      <c r="S464" s="604">
        <f t="shared" si="144"/>
        <v>553.61633333333339</v>
      </c>
      <c r="T464" s="567">
        <v>363</v>
      </c>
      <c r="U464" s="568">
        <v>165</v>
      </c>
      <c r="V464" s="601">
        <f t="shared" si="145"/>
        <v>19419</v>
      </c>
      <c r="W464" s="605">
        <f t="shared" si="146"/>
        <v>16608.490000000002</v>
      </c>
      <c r="X464" s="569"/>
      <c r="Y464" s="568"/>
      <c r="Z464" s="567"/>
      <c r="AA464" s="568"/>
      <c r="AB464" s="567"/>
      <c r="AC464" s="568"/>
      <c r="AD464" s="567"/>
      <c r="AE464" s="568"/>
      <c r="AF464" s="601">
        <f t="shared" si="147"/>
        <v>0</v>
      </c>
      <c r="AG464" s="602">
        <f t="shared" si="148"/>
        <v>0</v>
      </c>
      <c r="AH464" s="603">
        <f t="shared" si="149"/>
        <v>0</v>
      </c>
      <c r="AI464" s="603">
        <f t="shared" si="150"/>
        <v>0</v>
      </c>
      <c r="AJ464" s="567"/>
      <c r="AK464" s="568"/>
      <c r="AL464" s="601">
        <f t="shared" si="151"/>
        <v>0</v>
      </c>
      <c r="AM464" s="604">
        <f t="shared" si="152"/>
        <v>0</v>
      </c>
      <c r="AN464" s="570"/>
      <c r="AO464" s="571"/>
      <c r="AP464" s="567"/>
      <c r="AQ464" s="571"/>
      <c r="AR464" s="567"/>
      <c r="AS464" s="571"/>
      <c r="AT464" s="567"/>
      <c r="AU464" s="571"/>
      <c r="AV464" s="601">
        <f t="shared" si="153"/>
        <v>0</v>
      </c>
      <c r="AW464" s="609">
        <f t="shared" si="154"/>
        <v>0</v>
      </c>
      <c r="AX464" s="603">
        <f t="shared" si="155"/>
        <v>0</v>
      </c>
      <c r="AY464" s="610">
        <f t="shared" si="156"/>
        <v>0</v>
      </c>
      <c r="AZ464" s="611">
        <f t="shared" si="157"/>
        <v>647.29999999999995</v>
      </c>
      <c r="BA464" s="603">
        <f t="shared" si="158"/>
        <v>553.61633333333339</v>
      </c>
    </row>
    <row r="465" spans="1:53" ht="15">
      <c r="A465" s="475" t="s">
        <v>31</v>
      </c>
      <c r="B465" s="367" t="s">
        <v>648</v>
      </c>
      <c r="C465" s="476"/>
      <c r="D465" s="363">
        <v>220862</v>
      </c>
      <c r="E465" s="363">
        <v>1</v>
      </c>
      <c r="F465" s="296" t="s">
        <v>52</v>
      </c>
      <c r="G465" s="297" t="s">
        <v>52</v>
      </c>
      <c r="H465" s="298"/>
      <c r="I465" s="299"/>
      <c r="J465" s="298">
        <v>189752</v>
      </c>
      <c r="K465" s="477">
        <v>200974</v>
      </c>
      <c r="L465" s="298">
        <v>29485</v>
      </c>
      <c r="M465" s="477">
        <v>30227</v>
      </c>
      <c r="N465" s="298">
        <v>213057</v>
      </c>
      <c r="O465" s="477">
        <v>216891</v>
      </c>
      <c r="P465" s="601">
        <f t="shared" si="141"/>
        <v>432294</v>
      </c>
      <c r="Q465" s="602">
        <f t="shared" si="142"/>
        <v>14409.8</v>
      </c>
      <c r="R465" s="603">
        <f t="shared" si="143"/>
        <v>448092</v>
      </c>
      <c r="S465" s="604">
        <f t="shared" si="144"/>
        <v>14936.4</v>
      </c>
      <c r="T465" s="298"/>
      <c r="U465" s="299"/>
      <c r="V465" s="601">
        <f t="shared" si="145"/>
        <v>0</v>
      </c>
      <c r="W465" s="605">
        <f t="shared" si="146"/>
        <v>0</v>
      </c>
      <c r="X465" s="305"/>
      <c r="Y465" s="299"/>
      <c r="Z465" s="298"/>
      <c r="AA465" s="299"/>
      <c r="AB465" s="298"/>
      <c r="AC465" s="299"/>
      <c r="AD465" s="298"/>
      <c r="AE465" s="299"/>
      <c r="AF465" s="601">
        <f t="shared" si="147"/>
        <v>0</v>
      </c>
      <c r="AG465" s="602">
        <f t="shared" si="148"/>
        <v>0</v>
      </c>
      <c r="AH465" s="603">
        <f t="shared" si="149"/>
        <v>0</v>
      </c>
      <c r="AI465" s="603">
        <f t="shared" si="150"/>
        <v>0</v>
      </c>
      <c r="AJ465" s="298"/>
      <c r="AK465" s="299"/>
      <c r="AL465" s="601">
        <f t="shared" si="151"/>
        <v>0</v>
      </c>
      <c r="AM465" s="604">
        <f t="shared" si="152"/>
        <v>0</v>
      </c>
      <c r="AN465" s="306"/>
      <c r="AO465" s="307"/>
      <c r="AP465" s="298">
        <v>38113</v>
      </c>
      <c r="AQ465" s="477">
        <v>39257</v>
      </c>
      <c r="AR465" s="298">
        <v>9126</v>
      </c>
      <c r="AS465" s="477">
        <v>8077</v>
      </c>
      <c r="AT465" s="298">
        <v>39983</v>
      </c>
      <c r="AU465" s="477">
        <v>39175</v>
      </c>
      <c r="AV465" s="601">
        <f t="shared" si="153"/>
        <v>87222</v>
      </c>
      <c r="AW465" s="609">
        <f t="shared" si="154"/>
        <v>3634.25</v>
      </c>
      <c r="AX465" s="603">
        <f t="shared" si="155"/>
        <v>86509</v>
      </c>
      <c r="AY465" s="610">
        <f t="shared" si="156"/>
        <v>3604.5416666666665</v>
      </c>
      <c r="AZ465" s="611">
        <f t="shared" si="157"/>
        <v>18044.05</v>
      </c>
      <c r="BA465" s="603">
        <f t="shared" si="158"/>
        <v>18540.941666666666</v>
      </c>
    </row>
    <row r="466" spans="1:53" ht="15">
      <c r="A466" s="475" t="s">
        <v>31</v>
      </c>
      <c r="B466" s="367" t="s">
        <v>649</v>
      </c>
      <c r="C466" s="476"/>
      <c r="D466" s="363">
        <v>221759</v>
      </c>
      <c r="E466" s="363">
        <v>1</v>
      </c>
      <c r="F466" s="296" t="s">
        <v>52</v>
      </c>
      <c r="G466" s="297" t="s">
        <v>52</v>
      </c>
      <c r="H466" s="298"/>
      <c r="I466" s="299"/>
      <c r="J466" s="298">
        <v>278467</v>
      </c>
      <c r="K466" s="477">
        <v>223012</v>
      </c>
      <c r="L466" s="298">
        <v>37625</v>
      </c>
      <c r="M466" s="477">
        <v>32903</v>
      </c>
      <c r="N466" s="298">
        <v>289785</v>
      </c>
      <c r="O466" s="477">
        <v>281570</v>
      </c>
      <c r="P466" s="601">
        <f t="shared" si="141"/>
        <v>605877</v>
      </c>
      <c r="Q466" s="602">
        <f t="shared" si="142"/>
        <v>20195.900000000001</v>
      </c>
      <c r="R466" s="603">
        <f t="shared" si="143"/>
        <v>537485</v>
      </c>
      <c r="S466" s="604">
        <f t="shared" si="144"/>
        <v>17916.166666666668</v>
      </c>
      <c r="T466" s="298"/>
      <c r="U466" s="299"/>
      <c r="V466" s="601">
        <f t="shared" si="145"/>
        <v>0</v>
      </c>
      <c r="W466" s="605">
        <f t="shared" si="146"/>
        <v>0</v>
      </c>
      <c r="X466" s="305"/>
      <c r="Y466" s="299"/>
      <c r="Z466" s="298"/>
      <c r="AA466" s="299"/>
      <c r="AB466" s="298"/>
      <c r="AC466" s="299"/>
      <c r="AD466" s="298"/>
      <c r="AE466" s="299"/>
      <c r="AF466" s="601">
        <f t="shared" si="147"/>
        <v>0</v>
      </c>
      <c r="AG466" s="602">
        <f t="shared" si="148"/>
        <v>0</v>
      </c>
      <c r="AH466" s="603">
        <f t="shared" si="149"/>
        <v>0</v>
      </c>
      <c r="AI466" s="603">
        <f t="shared" si="150"/>
        <v>0</v>
      </c>
      <c r="AJ466" s="298"/>
      <c r="AK466" s="299"/>
      <c r="AL466" s="601">
        <f t="shared" si="151"/>
        <v>0</v>
      </c>
      <c r="AM466" s="604">
        <f t="shared" si="152"/>
        <v>0</v>
      </c>
      <c r="AN466" s="306"/>
      <c r="AO466" s="307"/>
      <c r="AP466" s="298">
        <v>48344</v>
      </c>
      <c r="AQ466" s="477">
        <v>38779</v>
      </c>
      <c r="AR466" s="298">
        <v>18678</v>
      </c>
      <c r="AS466" s="477">
        <v>17488</v>
      </c>
      <c r="AT466" s="298">
        <v>53738</v>
      </c>
      <c r="AU466" s="477">
        <v>50880</v>
      </c>
      <c r="AV466" s="601">
        <f t="shared" si="153"/>
        <v>120760</v>
      </c>
      <c r="AW466" s="609">
        <f t="shared" si="154"/>
        <v>5031.666666666667</v>
      </c>
      <c r="AX466" s="603">
        <f t="shared" si="155"/>
        <v>107147</v>
      </c>
      <c r="AY466" s="610">
        <f t="shared" si="156"/>
        <v>4464.458333333333</v>
      </c>
      <c r="AZ466" s="611">
        <f t="shared" si="157"/>
        <v>25227.566666666669</v>
      </c>
      <c r="BA466" s="603">
        <f t="shared" si="158"/>
        <v>22380.625</v>
      </c>
    </row>
    <row r="467" spans="1:53" ht="15">
      <c r="A467" s="475" t="s">
        <v>31</v>
      </c>
      <c r="B467" s="478" t="s">
        <v>653</v>
      </c>
      <c r="C467" s="495" t="s">
        <v>791</v>
      </c>
      <c r="D467" s="363">
        <v>221838</v>
      </c>
      <c r="E467" s="426">
        <v>2</v>
      </c>
      <c r="F467" s="296" t="s">
        <v>52</v>
      </c>
      <c r="G467" s="297" t="s">
        <v>52</v>
      </c>
      <c r="H467" s="298"/>
      <c r="I467" s="299"/>
      <c r="J467" s="298">
        <v>84107</v>
      </c>
      <c r="K467" s="477">
        <v>82054</v>
      </c>
      <c r="L467" s="298">
        <v>12307</v>
      </c>
      <c r="M467" s="477">
        <v>14911</v>
      </c>
      <c r="N467" s="298">
        <v>88332</v>
      </c>
      <c r="O467" s="477">
        <v>88692</v>
      </c>
      <c r="P467" s="601">
        <f t="shared" si="141"/>
        <v>184746</v>
      </c>
      <c r="Q467" s="602">
        <f t="shared" si="142"/>
        <v>6158.2</v>
      </c>
      <c r="R467" s="603">
        <f t="shared" si="143"/>
        <v>185657</v>
      </c>
      <c r="S467" s="604">
        <f t="shared" si="144"/>
        <v>6188.5666666666666</v>
      </c>
      <c r="T467" s="298"/>
      <c r="U467" s="600"/>
      <c r="V467" s="601">
        <f t="shared" si="145"/>
        <v>0</v>
      </c>
      <c r="W467" s="605">
        <f t="shared" si="146"/>
        <v>0</v>
      </c>
      <c r="X467" s="305"/>
      <c r="Y467" s="299"/>
      <c r="Z467" s="298"/>
      <c r="AA467" s="299"/>
      <c r="AB467" s="298"/>
      <c r="AC467" s="299"/>
      <c r="AD467" s="298"/>
      <c r="AE467" s="299"/>
      <c r="AF467" s="601">
        <f t="shared" si="147"/>
        <v>0</v>
      </c>
      <c r="AG467" s="602">
        <f t="shared" si="148"/>
        <v>0</v>
      </c>
      <c r="AH467" s="603">
        <f t="shared" si="149"/>
        <v>0</v>
      </c>
      <c r="AI467" s="603">
        <f t="shared" si="150"/>
        <v>0</v>
      </c>
      <c r="AJ467" s="298"/>
      <c r="AK467" s="299"/>
      <c r="AL467" s="601">
        <f t="shared" si="151"/>
        <v>0</v>
      </c>
      <c r="AM467" s="604">
        <f t="shared" si="152"/>
        <v>0</v>
      </c>
      <c r="AN467" s="306"/>
      <c r="AO467" s="307"/>
      <c r="AP467" s="298">
        <v>13986</v>
      </c>
      <c r="AQ467" s="477">
        <v>14601</v>
      </c>
      <c r="AR467" s="298">
        <v>6435</v>
      </c>
      <c r="AS467" s="477">
        <v>6421</v>
      </c>
      <c r="AT467" s="298">
        <v>15044</v>
      </c>
      <c r="AU467" s="477">
        <v>14953</v>
      </c>
      <c r="AV467" s="601">
        <f t="shared" si="153"/>
        <v>35465</v>
      </c>
      <c r="AW467" s="609">
        <f t="shared" si="154"/>
        <v>1477.7083333333333</v>
      </c>
      <c r="AX467" s="603">
        <f t="shared" si="155"/>
        <v>35975</v>
      </c>
      <c r="AY467" s="610">
        <f t="shared" si="156"/>
        <v>1498.9583333333333</v>
      </c>
      <c r="AZ467" s="611">
        <f t="shared" si="157"/>
        <v>7635.9083333333328</v>
      </c>
      <c r="BA467" s="603">
        <f t="shared" si="158"/>
        <v>7687.5249999999996</v>
      </c>
    </row>
    <row r="468" spans="1:53" ht="15">
      <c r="A468" s="475" t="s">
        <v>31</v>
      </c>
      <c r="B468" s="478" t="s">
        <v>650</v>
      </c>
      <c r="C468" s="479"/>
      <c r="D468" s="363">
        <v>219602</v>
      </c>
      <c r="E468" s="480">
        <v>3</v>
      </c>
      <c r="F468" s="296" t="s">
        <v>52</v>
      </c>
      <c r="G468" s="297" t="s">
        <v>52</v>
      </c>
      <c r="H468" s="298"/>
      <c r="I468" s="299"/>
      <c r="J468" s="298">
        <v>98062</v>
      </c>
      <c r="K468" s="477">
        <v>103833</v>
      </c>
      <c r="L468" s="298">
        <v>20624</v>
      </c>
      <c r="M468" s="477">
        <v>22046</v>
      </c>
      <c r="N468" s="298">
        <v>119686</v>
      </c>
      <c r="O468" s="477">
        <v>120070</v>
      </c>
      <c r="P468" s="601">
        <f t="shared" si="141"/>
        <v>238372</v>
      </c>
      <c r="Q468" s="602">
        <f t="shared" si="142"/>
        <v>7945.7333333333336</v>
      </c>
      <c r="R468" s="603">
        <f t="shared" si="143"/>
        <v>245949</v>
      </c>
      <c r="S468" s="604">
        <f t="shared" si="144"/>
        <v>8198.2999999999993</v>
      </c>
      <c r="T468" s="298">
        <v>1251</v>
      </c>
      <c r="U468" s="481">
        <v>1577</v>
      </c>
      <c r="V468" s="601">
        <f t="shared" si="145"/>
        <v>238372</v>
      </c>
      <c r="W468" s="605">
        <f t="shared" si="146"/>
        <v>245949</v>
      </c>
      <c r="X468" s="305"/>
      <c r="Y468" s="299"/>
      <c r="Z468" s="298"/>
      <c r="AA468" s="299"/>
      <c r="AB468" s="298"/>
      <c r="AC468" s="299"/>
      <c r="AD468" s="298"/>
      <c r="AE468" s="299"/>
      <c r="AF468" s="601">
        <f t="shared" si="147"/>
        <v>0</v>
      </c>
      <c r="AG468" s="602">
        <f t="shared" si="148"/>
        <v>0</v>
      </c>
      <c r="AH468" s="603">
        <f t="shared" si="149"/>
        <v>0</v>
      </c>
      <c r="AI468" s="603">
        <f t="shared" si="150"/>
        <v>0</v>
      </c>
      <c r="AJ468" s="298"/>
      <c r="AK468" s="299"/>
      <c r="AL468" s="601">
        <f t="shared" si="151"/>
        <v>0</v>
      </c>
      <c r="AM468" s="604">
        <f t="shared" si="152"/>
        <v>0</v>
      </c>
      <c r="AN468" s="306"/>
      <c r="AO468" s="307"/>
      <c r="AP468" s="298">
        <v>5670</v>
      </c>
      <c r="AQ468" s="477">
        <v>6298</v>
      </c>
      <c r="AR468" s="298">
        <v>2633</v>
      </c>
      <c r="AS468" s="477">
        <v>2721</v>
      </c>
      <c r="AT468" s="298">
        <v>6163</v>
      </c>
      <c r="AU468" s="477">
        <v>6096</v>
      </c>
      <c r="AV468" s="601">
        <f t="shared" si="153"/>
        <v>14466</v>
      </c>
      <c r="AW468" s="609">
        <f t="shared" si="154"/>
        <v>602.75</v>
      </c>
      <c r="AX468" s="603">
        <f t="shared" si="155"/>
        <v>15115</v>
      </c>
      <c r="AY468" s="610">
        <f t="shared" si="156"/>
        <v>629.79166666666663</v>
      </c>
      <c r="AZ468" s="611">
        <f t="shared" si="157"/>
        <v>8548.4833333333336</v>
      </c>
      <c r="BA468" s="603">
        <f t="shared" si="158"/>
        <v>8828.0916666666653</v>
      </c>
    </row>
    <row r="469" spans="1:53" ht="15">
      <c r="A469" s="475" t="s">
        <v>31</v>
      </c>
      <c r="B469" s="367" t="s">
        <v>651</v>
      </c>
      <c r="C469" s="476"/>
      <c r="D469" s="363">
        <v>220075</v>
      </c>
      <c r="E469" s="363">
        <v>3</v>
      </c>
      <c r="F469" s="296" t="s">
        <v>52</v>
      </c>
      <c r="G469" s="297" t="s">
        <v>52</v>
      </c>
      <c r="H469" s="298"/>
      <c r="I469" s="299"/>
      <c r="J469" s="298">
        <v>141732</v>
      </c>
      <c r="K469" s="477">
        <v>148311</v>
      </c>
      <c r="L469" s="298">
        <v>23485</v>
      </c>
      <c r="M469" s="477">
        <v>24097</v>
      </c>
      <c r="N469" s="298">
        <v>160600</v>
      </c>
      <c r="O469" s="477">
        <v>164764</v>
      </c>
      <c r="P469" s="601">
        <f t="shared" si="141"/>
        <v>325817</v>
      </c>
      <c r="Q469" s="602">
        <f t="shared" si="142"/>
        <v>10860.566666666668</v>
      </c>
      <c r="R469" s="603">
        <f t="shared" si="143"/>
        <v>337172</v>
      </c>
      <c r="S469" s="604">
        <f t="shared" si="144"/>
        <v>11239.066666666668</v>
      </c>
      <c r="T469" s="298"/>
      <c r="U469" s="299"/>
      <c r="V469" s="601">
        <f t="shared" si="145"/>
        <v>0</v>
      </c>
      <c r="W469" s="605">
        <f t="shared" si="146"/>
        <v>0</v>
      </c>
      <c r="X469" s="305"/>
      <c r="Y469" s="299"/>
      <c r="Z469" s="298"/>
      <c r="AA469" s="299"/>
      <c r="AB469" s="298"/>
      <c r="AC469" s="299"/>
      <c r="AD469" s="298"/>
      <c r="AE469" s="299"/>
      <c r="AF469" s="601">
        <f t="shared" si="147"/>
        <v>0</v>
      </c>
      <c r="AG469" s="602">
        <f t="shared" si="148"/>
        <v>0</v>
      </c>
      <c r="AH469" s="603">
        <f t="shared" si="149"/>
        <v>0</v>
      </c>
      <c r="AI469" s="603">
        <f t="shared" si="150"/>
        <v>0</v>
      </c>
      <c r="AJ469" s="298"/>
      <c r="AK469" s="299"/>
      <c r="AL469" s="601">
        <f t="shared" si="151"/>
        <v>0</v>
      </c>
      <c r="AM469" s="604">
        <f t="shared" si="152"/>
        <v>0</v>
      </c>
      <c r="AN469" s="306"/>
      <c r="AO469" s="307"/>
      <c r="AP469" s="298">
        <v>16973</v>
      </c>
      <c r="AQ469" s="477">
        <v>16849</v>
      </c>
      <c r="AR469" s="298">
        <v>7104</v>
      </c>
      <c r="AS469" s="477">
        <v>7166</v>
      </c>
      <c r="AT469" s="298">
        <v>18203</v>
      </c>
      <c r="AU469" s="477">
        <v>17492</v>
      </c>
      <c r="AV469" s="601">
        <f t="shared" si="153"/>
        <v>42280</v>
      </c>
      <c r="AW469" s="609">
        <f t="shared" si="154"/>
        <v>1761.6666666666667</v>
      </c>
      <c r="AX469" s="603">
        <f t="shared" si="155"/>
        <v>41507</v>
      </c>
      <c r="AY469" s="610">
        <f t="shared" si="156"/>
        <v>1729.4583333333333</v>
      </c>
      <c r="AZ469" s="611">
        <f t="shared" si="157"/>
        <v>12622.233333333334</v>
      </c>
      <c r="BA469" s="603">
        <f t="shared" si="158"/>
        <v>12968.525000000001</v>
      </c>
    </row>
    <row r="470" spans="1:53" ht="15">
      <c r="A470" s="475" t="s">
        <v>31</v>
      </c>
      <c r="B470" s="367" t="s">
        <v>652</v>
      </c>
      <c r="C470" s="476"/>
      <c r="D470" s="363">
        <v>220978</v>
      </c>
      <c r="E470" s="363">
        <v>3</v>
      </c>
      <c r="F470" s="296" t="s">
        <v>52</v>
      </c>
      <c r="G470" s="297" t="s">
        <v>52</v>
      </c>
      <c r="H470" s="298"/>
      <c r="I470" s="299"/>
      <c r="J470" s="298">
        <v>269515</v>
      </c>
      <c r="K470" s="477">
        <v>280020</v>
      </c>
      <c r="L470" s="298">
        <v>46449</v>
      </c>
      <c r="M470" s="477">
        <v>47561</v>
      </c>
      <c r="N470" s="298">
        <v>304889</v>
      </c>
      <c r="O470" s="477">
        <v>301604</v>
      </c>
      <c r="P470" s="601">
        <f t="shared" si="141"/>
        <v>620853</v>
      </c>
      <c r="Q470" s="602">
        <f t="shared" si="142"/>
        <v>20695.099999999999</v>
      </c>
      <c r="R470" s="603">
        <f t="shared" si="143"/>
        <v>629185</v>
      </c>
      <c r="S470" s="604">
        <f t="shared" si="144"/>
        <v>20972.833333333332</v>
      </c>
      <c r="T470" s="298"/>
      <c r="U470" s="299"/>
      <c r="V470" s="601">
        <f t="shared" si="145"/>
        <v>0</v>
      </c>
      <c r="W470" s="605">
        <f t="shared" si="146"/>
        <v>0</v>
      </c>
      <c r="X470" s="305"/>
      <c r="Y470" s="299"/>
      <c r="Z470" s="298"/>
      <c r="AA470" s="299"/>
      <c r="AB470" s="298"/>
      <c r="AC470" s="299"/>
      <c r="AD470" s="298"/>
      <c r="AE470" s="299"/>
      <c r="AF470" s="601">
        <f t="shared" si="147"/>
        <v>0</v>
      </c>
      <c r="AG470" s="602">
        <f t="shared" si="148"/>
        <v>0</v>
      </c>
      <c r="AH470" s="603">
        <f t="shared" si="149"/>
        <v>0</v>
      </c>
      <c r="AI470" s="603">
        <f t="shared" si="150"/>
        <v>0</v>
      </c>
      <c r="AJ470" s="298"/>
      <c r="AK470" s="299"/>
      <c r="AL470" s="601">
        <f t="shared" si="151"/>
        <v>0</v>
      </c>
      <c r="AM470" s="604">
        <f t="shared" si="152"/>
        <v>0</v>
      </c>
      <c r="AN470" s="306"/>
      <c r="AO470" s="307"/>
      <c r="AP470" s="298">
        <v>18402</v>
      </c>
      <c r="AQ470" s="477">
        <v>19471</v>
      </c>
      <c r="AR470" s="298">
        <v>9877</v>
      </c>
      <c r="AS470" s="477">
        <v>9625</v>
      </c>
      <c r="AT470" s="298">
        <v>20221</v>
      </c>
      <c r="AU470" s="477">
        <v>20402</v>
      </c>
      <c r="AV470" s="601">
        <f t="shared" si="153"/>
        <v>48500</v>
      </c>
      <c r="AW470" s="609">
        <f t="shared" si="154"/>
        <v>2020.8333333333333</v>
      </c>
      <c r="AX470" s="603">
        <f t="shared" si="155"/>
        <v>49498</v>
      </c>
      <c r="AY470" s="610">
        <f t="shared" si="156"/>
        <v>2062.4166666666665</v>
      </c>
      <c r="AZ470" s="611">
        <f t="shared" si="157"/>
        <v>22715.933333333331</v>
      </c>
      <c r="BA470" s="603">
        <f t="shared" si="158"/>
        <v>23035.25</v>
      </c>
    </row>
    <row r="471" spans="1:53" ht="15">
      <c r="A471" s="475" t="s">
        <v>31</v>
      </c>
      <c r="B471" s="367" t="s">
        <v>654</v>
      </c>
      <c r="C471" s="476"/>
      <c r="D471" s="363">
        <v>221847</v>
      </c>
      <c r="E471" s="363">
        <v>3</v>
      </c>
      <c r="F471" s="296" t="s">
        <v>52</v>
      </c>
      <c r="G471" s="297" t="s">
        <v>52</v>
      </c>
      <c r="H471" s="298"/>
      <c r="I471" s="299"/>
      <c r="J471" s="298">
        <v>110929</v>
      </c>
      <c r="K471" s="477">
        <v>117328</v>
      </c>
      <c r="L471" s="298">
        <v>10499</v>
      </c>
      <c r="M471" s="477">
        <v>13099</v>
      </c>
      <c r="N471" s="298">
        <v>128270</v>
      </c>
      <c r="O471" s="477">
        <v>132670</v>
      </c>
      <c r="P471" s="601">
        <f t="shared" si="141"/>
        <v>249698</v>
      </c>
      <c r="Q471" s="602">
        <f t="shared" si="142"/>
        <v>8323.2666666666664</v>
      </c>
      <c r="R471" s="603">
        <f t="shared" si="143"/>
        <v>263097</v>
      </c>
      <c r="S471" s="604">
        <f t="shared" si="144"/>
        <v>8769.9</v>
      </c>
      <c r="T471" s="298"/>
      <c r="U471" s="299"/>
      <c r="V471" s="601">
        <f t="shared" si="145"/>
        <v>0</v>
      </c>
      <c r="W471" s="605">
        <f t="shared" si="146"/>
        <v>0</v>
      </c>
      <c r="X471" s="305"/>
      <c r="Y471" s="299"/>
      <c r="Z471" s="298"/>
      <c r="AA471" s="299"/>
      <c r="AB471" s="298"/>
      <c r="AC471" s="299"/>
      <c r="AD471" s="298"/>
      <c r="AE471" s="299"/>
      <c r="AF471" s="601">
        <f t="shared" si="147"/>
        <v>0</v>
      </c>
      <c r="AG471" s="602">
        <f t="shared" si="148"/>
        <v>0</v>
      </c>
      <c r="AH471" s="603">
        <f t="shared" si="149"/>
        <v>0</v>
      </c>
      <c r="AI471" s="603">
        <f t="shared" si="150"/>
        <v>0</v>
      </c>
      <c r="AJ471" s="298"/>
      <c r="AK471" s="299"/>
      <c r="AL471" s="601">
        <f t="shared" si="151"/>
        <v>0</v>
      </c>
      <c r="AM471" s="604">
        <f t="shared" si="152"/>
        <v>0</v>
      </c>
      <c r="AN471" s="306"/>
      <c r="AO471" s="307"/>
      <c r="AP471" s="298">
        <v>10950</v>
      </c>
      <c r="AQ471" s="477">
        <v>8437</v>
      </c>
      <c r="AR471" s="298">
        <v>4854</v>
      </c>
      <c r="AS471" s="477">
        <v>3656</v>
      </c>
      <c r="AT471" s="298">
        <v>9716</v>
      </c>
      <c r="AU471" s="477">
        <v>8165</v>
      </c>
      <c r="AV471" s="601">
        <f t="shared" si="153"/>
        <v>25520</v>
      </c>
      <c r="AW471" s="609">
        <f t="shared" si="154"/>
        <v>1063.3333333333333</v>
      </c>
      <c r="AX471" s="603">
        <f t="shared" si="155"/>
        <v>20258</v>
      </c>
      <c r="AY471" s="610">
        <f t="shared" si="156"/>
        <v>844.08333333333337</v>
      </c>
      <c r="AZ471" s="611">
        <f t="shared" si="157"/>
        <v>9386.6</v>
      </c>
      <c r="BA471" s="603">
        <f t="shared" si="158"/>
        <v>9613.9833333333336</v>
      </c>
    </row>
    <row r="472" spans="1:53" ht="15">
      <c r="A472" s="475" t="s">
        <v>31</v>
      </c>
      <c r="B472" s="367" t="s">
        <v>655</v>
      </c>
      <c r="C472" s="476"/>
      <c r="D472" s="363">
        <v>221740</v>
      </c>
      <c r="E472" s="363">
        <v>3</v>
      </c>
      <c r="F472" s="296" t="s">
        <v>52</v>
      </c>
      <c r="G472" s="297" t="s">
        <v>52</v>
      </c>
      <c r="H472" s="298"/>
      <c r="I472" s="299"/>
      <c r="J472" s="298">
        <v>113249</v>
      </c>
      <c r="K472" s="477">
        <v>109626</v>
      </c>
      <c r="L472" s="298">
        <v>15127</v>
      </c>
      <c r="M472" s="477">
        <v>14737</v>
      </c>
      <c r="N472" s="298">
        <v>132341</v>
      </c>
      <c r="O472" s="477">
        <v>132574</v>
      </c>
      <c r="P472" s="601">
        <f t="shared" si="141"/>
        <v>260717</v>
      </c>
      <c r="Q472" s="602">
        <f t="shared" si="142"/>
        <v>8690.5666666666675</v>
      </c>
      <c r="R472" s="603">
        <f t="shared" si="143"/>
        <v>256937</v>
      </c>
      <c r="S472" s="604">
        <f t="shared" si="144"/>
        <v>8564.5666666666675</v>
      </c>
      <c r="T472" s="298"/>
      <c r="U472" s="299"/>
      <c r="V472" s="601">
        <f t="shared" si="145"/>
        <v>0</v>
      </c>
      <c r="W472" s="605">
        <f t="shared" si="146"/>
        <v>0</v>
      </c>
      <c r="X472" s="305"/>
      <c r="Y472" s="299"/>
      <c r="Z472" s="298"/>
      <c r="AA472" s="299"/>
      <c r="AB472" s="298"/>
      <c r="AC472" s="299"/>
      <c r="AD472" s="298"/>
      <c r="AE472" s="299"/>
      <c r="AF472" s="601">
        <f t="shared" si="147"/>
        <v>0</v>
      </c>
      <c r="AG472" s="602">
        <f t="shared" si="148"/>
        <v>0</v>
      </c>
      <c r="AH472" s="603">
        <f t="shared" si="149"/>
        <v>0</v>
      </c>
      <c r="AI472" s="603">
        <f t="shared" si="150"/>
        <v>0</v>
      </c>
      <c r="AJ472" s="298"/>
      <c r="AK472" s="299"/>
      <c r="AL472" s="601">
        <f t="shared" si="151"/>
        <v>0</v>
      </c>
      <c r="AM472" s="604">
        <f t="shared" si="152"/>
        <v>0</v>
      </c>
      <c r="AN472" s="306"/>
      <c r="AO472" s="307"/>
      <c r="AP472" s="298">
        <v>10597</v>
      </c>
      <c r="AQ472" s="477">
        <v>10816</v>
      </c>
      <c r="AR472" s="298">
        <v>5671</v>
      </c>
      <c r="AS472" s="477">
        <v>5736</v>
      </c>
      <c r="AT472" s="298">
        <v>11586</v>
      </c>
      <c r="AU472" s="477">
        <v>12076</v>
      </c>
      <c r="AV472" s="601">
        <f t="shared" si="153"/>
        <v>27854</v>
      </c>
      <c r="AW472" s="609">
        <f t="shared" si="154"/>
        <v>1160.5833333333333</v>
      </c>
      <c r="AX472" s="603">
        <f t="shared" si="155"/>
        <v>28628</v>
      </c>
      <c r="AY472" s="610">
        <f t="shared" si="156"/>
        <v>1192.8333333333333</v>
      </c>
      <c r="AZ472" s="611">
        <f t="shared" si="157"/>
        <v>9851.1500000000015</v>
      </c>
      <c r="BA472" s="603">
        <f t="shared" si="158"/>
        <v>9757.4000000000015</v>
      </c>
    </row>
    <row r="473" spans="1:53" ht="15">
      <c r="A473" s="475" t="s">
        <v>31</v>
      </c>
      <c r="B473" s="367" t="s">
        <v>656</v>
      </c>
      <c r="C473" s="479" t="s">
        <v>792</v>
      </c>
      <c r="D473" s="363">
        <v>221768</v>
      </c>
      <c r="E473" s="363">
        <v>5</v>
      </c>
      <c r="F473" s="296" t="s">
        <v>52</v>
      </c>
      <c r="G473" s="297" t="s">
        <v>52</v>
      </c>
      <c r="H473" s="298"/>
      <c r="I473" s="299"/>
      <c r="J473" s="298">
        <v>91563</v>
      </c>
      <c r="K473" s="477">
        <v>82652</v>
      </c>
      <c r="L473" s="298">
        <v>11862</v>
      </c>
      <c r="M473" s="477">
        <v>13865</v>
      </c>
      <c r="N473" s="298">
        <v>100476</v>
      </c>
      <c r="O473" s="477">
        <v>99680</v>
      </c>
      <c r="P473" s="601">
        <f t="shared" si="141"/>
        <v>203901</v>
      </c>
      <c r="Q473" s="602">
        <f t="shared" si="142"/>
        <v>6796.7</v>
      </c>
      <c r="R473" s="603">
        <f t="shared" si="143"/>
        <v>196197</v>
      </c>
      <c r="S473" s="604">
        <f t="shared" si="144"/>
        <v>6539.9</v>
      </c>
      <c r="T473" s="298">
        <v>6272</v>
      </c>
      <c r="U473" s="481">
        <v>5557</v>
      </c>
      <c r="V473" s="601">
        <f t="shared" si="145"/>
        <v>203901</v>
      </c>
      <c r="W473" s="605">
        <f t="shared" si="146"/>
        <v>196197</v>
      </c>
      <c r="X473" s="305"/>
      <c r="Y473" s="299"/>
      <c r="Z473" s="298"/>
      <c r="AA473" s="299"/>
      <c r="AB473" s="298"/>
      <c r="AC473" s="299"/>
      <c r="AD473" s="298"/>
      <c r="AE473" s="299"/>
      <c r="AF473" s="601">
        <f t="shared" si="147"/>
        <v>0</v>
      </c>
      <c r="AG473" s="602">
        <f t="shared" si="148"/>
        <v>0</v>
      </c>
      <c r="AH473" s="603">
        <f t="shared" si="149"/>
        <v>0</v>
      </c>
      <c r="AI473" s="603">
        <f t="shared" si="150"/>
        <v>0</v>
      </c>
      <c r="AJ473" s="298"/>
      <c r="AK473" s="299"/>
      <c r="AL473" s="601">
        <f t="shared" si="151"/>
        <v>0</v>
      </c>
      <c r="AM473" s="604">
        <f t="shared" si="152"/>
        <v>0</v>
      </c>
      <c r="AN473" s="306"/>
      <c r="AO473" s="307"/>
      <c r="AP473" s="298">
        <v>2898</v>
      </c>
      <c r="AQ473" s="477">
        <v>1119</v>
      </c>
      <c r="AR473" s="298">
        <v>2368</v>
      </c>
      <c r="AS473" s="477">
        <v>2038</v>
      </c>
      <c r="AT473" s="298">
        <v>3129</v>
      </c>
      <c r="AU473" s="477">
        <v>2485</v>
      </c>
      <c r="AV473" s="601">
        <f t="shared" si="153"/>
        <v>8395</v>
      </c>
      <c r="AW473" s="609">
        <f t="shared" si="154"/>
        <v>349.79166666666669</v>
      </c>
      <c r="AX473" s="603">
        <f t="shared" si="155"/>
        <v>5642</v>
      </c>
      <c r="AY473" s="610">
        <f t="shared" si="156"/>
        <v>235.08333333333334</v>
      </c>
      <c r="AZ473" s="611">
        <f t="shared" si="157"/>
        <v>7146.4916666666668</v>
      </c>
      <c r="BA473" s="603">
        <f t="shared" si="158"/>
        <v>6774.9833333333327</v>
      </c>
    </row>
    <row r="474" spans="1:53" ht="15">
      <c r="A474" s="475" t="s">
        <v>31</v>
      </c>
      <c r="B474" s="367" t="s">
        <v>657</v>
      </c>
      <c r="C474" s="476"/>
      <c r="D474" s="363">
        <v>219824</v>
      </c>
      <c r="E474" s="363">
        <v>8</v>
      </c>
      <c r="F474" s="296" t="s">
        <v>52</v>
      </c>
      <c r="G474" s="297" t="s">
        <v>52</v>
      </c>
      <c r="H474" s="298"/>
      <c r="I474" s="299"/>
      <c r="J474" s="298">
        <v>86188</v>
      </c>
      <c r="K474" s="477">
        <v>94137</v>
      </c>
      <c r="L474" s="298">
        <v>21070</v>
      </c>
      <c r="M474" s="477">
        <v>20055</v>
      </c>
      <c r="N474" s="298">
        <v>100682</v>
      </c>
      <c r="O474" s="477">
        <v>100065</v>
      </c>
      <c r="P474" s="601">
        <f t="shared" si="141"/>
        <v>207940</v>
      </c>
      <c r="Q474" s="602">
        <f t="shared" si="142"/>
        <v>6931.333333333333</v>
      </c>
      <c r="R474" s="603">
        <f t="shared" si="143"/>
        <v>214257</v>
      </c>
      <c r="S474" s="604">
        <f t="shared" si="144"/>
        <v>7141.9</v>
      </c>
      <c r="T474" s="298">
        <v>9189</v>
      </c>
      <c r="U474" s="481">
        <v>10640</v>
      </c>
      <c r="V474" s="601">
        <f t="shared" si="145"/>
        <v>207940</v>
      </c>
      <c r="W474" s="605">
        <f t="shared" si="146"/>
        <v>214257</v>
      </c>
      <c r="X474" s="305"/>
      <c r="Y474" s="299"/>
      <c r="Z474" s="298"/>
      <c r="AA474" s="299"/>
      <c r="AB474" s="298"/>
      <c r="AC474" s="299"/>
      <c r="AD474" s="298"/>
      <c r="AE474" s="299"/>
      <c r="AF474" s="601">
        <f t="shared" si="147"/>
        <v>0</v>
      </c>
      <c r="AG474" s="602">
        <f t="shared" si="148"/>
        <v>0</v>
      </c>
      <c r="AH474" s="603">
        <f t="shared" si="149"/>
        <v>0</v>
      </c>
      <c r="AI474" s="603">
        <f t="shared" si="150"/>
        <v>0</v>
      </c>
      <c r="AJ474" s="298"/>
      <c r="AK474" s="299"/>
      <c r="AL474" s="601">
        <f t="shared" si="151"/>
        <v>0</v>
      </c>
      <c r="AM474" s="604">
        <f t="shared" si="152"/>
        <v>0</v>
      </c>
      <c r="AN474" s="306"/>
      <c r="AO474" s="307"/>
      <c r="AP474" s="298"/>
      <c r="AQ474" s="307"/>
      <c r="AR474" s="298"/>
      <c r="AS474" s="307"/>
      <c r="AT474" s="298"/>
      <c r="AU474" s="307"/>
      <c r="AV474" s="601">
        <f t="shared" si="153"/>
        <v>0</v>
      </c>
      <c r="AW474" s="609">
        <f t="shared" si="154"/>
        <v>0</v>
      </c>
      <c r="AX474" s="603">
        <f t="shared" si="155"/>
        <v>0</v>
      </c>
      <c r="AY474" s="610">
        <f t="shared" si="156"/>
        <v>0</v>
      </c>
      <c r="AZ474" s="611">
        <f t="shared" si="157"/>
        <v>6931.333333333333</v>
      </c>
      <c r="BA474" s="603">
        <f t="shared" si="158"/>
        <v>7141.9</v>
      </c>
    </row>
    <row r="475" spans="1:53" ht="15">
      <c r="A475" s="475" t="s">
        <v>31</v>
      </c>
      <c r="B475" s="478" t="s">
        <v>664</v>
      </c>
      <c r="C475" s="495" t="s">
        <v>793</v>
      </c>
      <c r="D475" s="363">
        <v>221184</v>
      </c>
      <c r="E475" s="426">
        <v>8</v>
      </c>
      <c r="F475" s="296" t="s">
        <v>52</v>
      </c>
      <c r="G475" s="297" t="s">
        <v>52</v>
      </c>
      <c r="H475" s="298"/>
      <c r="I475" s="299"/>
      <c r="J475" s="298">
        <v>81382</v>
      </c>
      <c r="K475" s="477">
        <v>84010</v>
      </c>
      <c r="L475" s="298">
        <v>22953</v>
      </c>
      <c r="M475" s="477">
        <v>27112</v>
      </c>
      <c r="N475" s="298">
        <v>84285</v>
      </c>
      <c r="O475" s="477">
        <v>85290</v>
      </c>
      <c r="P475" s="601">
        <f t="shared" si="141"/>
        <v>188620</v>
      </c>
      <c r="Q475" s="602">
        <f t="shared" si="142"/>
        <v>6287.333333333333</v>
      </c>
      <c r="R475" s="603">
        <f t="shared" si="143"/>
        <v>196412</v>
      </c>
      <c r="S475" s="604">
        <f t="shared" si="144"/>
        <v>6547.0666666666666</v>
      </c>
      <c r="T475" s="298">
        <v>5342</v>
      </c>
      <c r="U475" s="481">
        <v>5677</v>
      </c>
      <c r="V475" s="601">
        <f t="shared" si="145"/>
        <v>188620</v>
      </c>
      <c r="W475" s="605">
        <f t="shared" si="146"/>
        <v>196412</v>
      </c>
      <c r="X475" s="305"/>
      <c r="Y475" s="299"/>
      <c r="Z475" s="298"/>
      <c r="AA475" s="299"/>
      <c r="AB475" s="298"/>
      <c r="AC475" s="299"/>
      <c r="AD475" s="298"/>
      <c r="AE475" s="299"/>
      <c r="AF475" s="601">
        <f t="shared" si="147"/>
        <v>0</v>
      </c>
      <c r="AG475" s="602">
        <f t="shared" si="148"/>
        <v>0</v>
      </c>
      <c r="AH475" s="603">
        <f t="shared" si="149"/>
        <v>0</v>
      </c>
      <c r="AI475" s="603">
        <f t="shared" si="150"/>
        <v>0</v>
      </c>
      <c r="AJ475" s="298"/>
      <c r="AK475" s="299"/>
      <c r="AL475" s="601">
        <f t="shared" si="151"/>
        <v>0</v>
      </c>
      <c r="AM475" s="604">
        <f t="shared" si="152"/>
        <v>0</v>
      </c>
      <c r="AN475" s="306"/>
      <c r="AO475" s="307"/>
      <c r="AP475" s="298"/>
      <c r="AQ475" s="307"/>
      <c r="AR475" s="298"/>
      <c r="AS475" s="307"/>
      <c r="AT475" s="298"/>
      <c r="AU475" s="307"/>
      <c r="AV475" s="601">
        <f t="shared" si="153"/>
        <v>0</v>
      </c>
      <c r="AW475" s="609">
        <f t="shared" si="154"/>
        <v>0</v>
      </c>
      <c r="AX475" s="603">
        <f t="shared" si="155"/>
        <v>0</v>
      </c>
      <c r="AY475" s="610">
        <f t="shared" si="156"/>
        <v>0</v>
      </c>
      <c r="AZ475" s="611">
        <f t="shared" si="157"/>
        <v>6287.333333333333</v>
      </c>
      <c r="BA475" s="603">
        <f t="shared" si="158"/>
        <v>6547.0666666666666</v>
      </c>
    </row>
    <row r="476" spans="1:53" ht="15">
      <c r="A476" s="475" t="s">
        <v>31</v>
      </c>
      <c r="B476" s="367" t="s">
        <v>658</v>
      </c>
      <c r="C476" s="476"/>
      <c r="D476" s="363">
        <v>221643</v>
      </c>
      <c r="E476" s="363">
        <v>8</v>
      </c>
      <c r="F476" s="296" t="s">
        <v>52</v>
      </c>
      <c r="G476" s="297" t="s">
        <v>52</v>
      </c>
      <c r="H476" s="298"/>
      <c r="I476" s="299"/>
      <c r="J476" s="298">
        <v>94444</v>
      </c>
      <c r="K476" s="477">
        <v>100060</v>
      </c>
      <c r="L476" s="298">
        <v>23288</v>
      </c>
      <c r="M476" s="477">
        <v>25201</v>
      </c>
      <c r="N476" s="298">
        <v>109115</v>
      </c>
      <c r="O476" s="477">
        <v>111029</v>
      </c>
      <c r="P476" s="601">
        <f t="shared" si="141"/>
        <v>226847</v>
      </c>
      <c r="Q476" s="602">
        <f t="shared" si="142"/>
        <v>7561.5666666666666</v>
      </c>
      <c r="R476" s="603">
        <f t="shared" si="143"/>
        <v>236290</v>
      </c>
      <c r="S476" s="604">
        <f t="shared" si="144"/>
        <v>7876.333333333333</v>
      </c>
      <c r="T476" s="298">
        <v>5813</v>
      </c>
      <c r="U476" s="481">
        <v>6884</v>
      </c>
      <c r="V476" s="601">
        <f t="shared" si="145"/>
        <v>226847</v>
      </c>
      <c r="W476" s="605">
        <f t="shared" si="146"/>
        <v>236290</v>
      </c>
      <c r="X476" s="305"/>
      <c r="Y476" s="299"/>
      <c r="Z476" s="298"/>
      <c r="AA476" s="299"/>
      <c r="AB476" s="298"/>
      <c r="AC476" s="299"/>
      <c r="AD476" s="298"/>
      <c r="AE476" s="299"/>
      <c r="AF476" s="601">
        <f t="shared" si="147"/>
        <v>0</v>
      </c>
      <c r="AG476" s="602">
        <f t="shared" si="148"/>
        <v>0</v>
      </c>
      <c r="AH476" s="603">
        <f t="shared" si="149"/>
        <v>0</v>
      </c>
      <c r="AI476" s="603">
        <f t="shared" si="150"/>
        <v>0</v>
      </c>
      <c r="AJ476" s="298"/>
      <c r="AK476" s="299"/>
      <c r="AL476" s="601">
        <f t="shared" si="151"/>
        <v>0</v>
      </c>
      <c r="AM476" s="604">
        <f t="shared" si="152"/>
        <v>0</v>
      </c>
      <c r="AN476" s="306"/>
      <c r="AO476" s="307"/>
      <c r="AP476" s="298"/>
      <c r="AQ476" s="307"/>
      <c r="AR476" s="298"/>
      <c r="AS476" s="307"/>
      <c r="AT476" s="298"/>
      <c r="AU476" s="307"/>
      <c r="AV476" s="601">
        <f t="shared" si="153"/>
        <v>0</v>
      </c>
      <c r="AW476" s="609">
        <f t="shared" si="154"/>
        <v>0</v>
      </c>
      <c r="AX476" s="603">
        <f t="shared" si="155"/>
        <v>0</v>
      </c>
      <c r="AY476" s="610">
        <f t="shared" si="156"/>
        <v>0</v>
      </c>
      <c r="AZ476" s="611">
        <f t="shared" si="157"/>
        <v>7561.5666666666666</v>
      </c>
      <c r="BA476" s="603">
        <f t="shared" si="158"/>
        <v>7876.333333333333</v>
      </c>
    </row>
    <row r="477" spans="1:53" ht="15">
      <c r="A477" s="475" t="s">
        <v>31</v>
      </c>
      <c r="B477" s="367" t="s">
        <v>659</v>
      </c>
      <c r="C477" s="476"/>
      <c r="D477" s="363">
        <v>221485</v>
      </c>
      <c r="E477" s="363">
        <v>8</v>
      </c>
      <c r="F477" s="296" t="s">
        <v>52</v>
      </c>
      <c r="G477" s="297" t="s">
        <v>52</v>
      </c>
      <c r="H477" s="298"/>
      <c r="I477" s="299"/>
      <c r="J477" s="298">
        <v>120246</v>
      </c>
      <c r="K477" s="477">
        <v>117785</v>
      </c>
      <c r="L477" s="298">
        <v>42687</v>
      </c>
      <c r="M477" s="477">
        <v>45229</v>
      </c>
      <c r="N477" s="298">
        <v>126470</v>
      </c>
      <c r="O477" s="477">
        <v>123233</v>
      </c>
      <c r="P477" s="601">
        <f t="shared" si="141"/>
        <v>289403</v>
      </c>
      <c r="Q477" s="602">
        <f t="shared" si="142"/>
        <v>9646.7666666666664</v>
      </c>
      <c r="R477" s="603">
        <f t="shared" si="143"/>
        <v>286247</v>
      </c>
      <c r="S477" s="604">
        <f t="shared" si="144"/>
        <v>9541.5666666666675</v>
      </c>
      <c r="T477" s="298">
        <v>1950</v>
      </c>
      <c r="U477" s="481">
        <v>1611</v>
      </c>
      <c r="V477" s="601">
        <f t="shared" si="145"/>
        <v>289403</v>
      </c>
      <c r="W477" s="605">
        <f t="shared" si="146"/>
        <v>286247</v>
      </c>
      <c r="X477" s="305"/>
      <c r="Y477" s="299"/>
      <c r="Z477" s="298"/>
      <c r="AA477" s="299"/>
      <c r="AB477" s="298"/>
      <c r="AC477" s="299"/>
      <c r="AD477" s="298"/>
      <c r="AE477" s="299"/>
      <c r="AF477" s="601">
        <f t="shared" si="147"/>
        <v>0</v>
      </c>
      <c r="AG477" s="602">
        <f t="shared" si="148"/>
        <v>0</v>
      </c>
      <c r="AH477" s="603">
        <f t="shared" si="149"/>
        <v>0</v>
      </c>
      <c r="AI477" s="603">
        <f t="shared" si="150"/>
        <v>0</v>
      </c>
      <c r="AJ477" s="298"/>
      <c r="AK477" s="299"/>
      <c r="AL477" s="601">
        <f t="shared" si="151"/>
        <v>0</v>
      </c>
      <c r="AM477" s="604">
        <f t="shared" si="152"/>
        <v>0</v>
      </c>
      <c r="AN477" s="306"/>
      <c r="AO477" s="307"/>
      <c r="AP477" s="298"/>
      <c r="AQ477" s="307"/>
      <c r="AR477" s="298"/>
      <c r="AS477" s="307"/>
      <c r="AT477" s="298"/>
      <c r="AU477" s="307"/>
      <c r="AV477" s="601">
        <f t="shared" si="153"/>
        <v>0</v>
      </c>
      <c r="AW477" s="609">
        <f t="shared" si="154"/>
        <v>0</v>
      </c>
      <c r="AX477" s="603">
        <f t="shared" si="155"/>
        <v>0</v>
      </c>
      <c r="AY477" s="610">
        <f t="shared" si="156"/>
        <v>0</v>
      </c>
      <c r="AZ477" s="611">
        <f t="shared" si="157"/>
        <v>9646.7666666666664</v>
      </c>
      <c r="BA477" s="603">
        <f t="shared" si="158"/>
        <v>9541.5666666666675</v>
      </c>
    </row>
    <row r="478" spans="1:53" ht="15">
      <c r="A478" s="475" t="s">
        <v>31</v>
      </c>
      <c r="B478" s="478" t="s">
        <v>667</v>
      </c>
      <c r="C478" s="495" t="s">
        <v>793</v>
      </c>
      <c r="D478" s="363">
        <v>222053</v>
      </c>
      <c r="E478" s="426">
        <v>8</v>
      </c>
      <c r="F478" s="296" t="s">
        <v>52</v>
      </c>
      <c r="G478" s="297" t="s">
        <v>52</v>
      </c>
      <c r="H478" s="298"/>
      <c r="I478" s="299"/>
      <c r="J478" s="298">
        <v>76402</v>
      </c>
      <c r="K478" s="477">
        <v>76398</v>
      </c>
      <c r="L478" s="298">
        <v>20419</v>
      </c>
      <c r="M478" s="477">
        <v>19259</v>
      </c>
      <c r="N478" s="298">
        <v>86654</v>
      </c>
      <c r="O478" s="477">
        <v>81735</v>
      </c>
      <c r="P478" s="601">
        <f t="shared" si="141"/>
        <v>183475</v>
      </c>
      <c r="Q478" s="602">
        <f t="shared" si="142"/>
        <v>6115.833333333333</v>
      </c>
      <c r="R478" s="603">
        <f t="shared" si="143"/>
        <v>177392</v>
      </c>
      <c r="S478" s="604">
        <f t="shared" si="144"/>
        <v>5913.0666666666666</v>
      </c>
      <c r="T478" s="298">
        <v>9338</v>
      </c>
      <c r="U478" s="481">
        <v>10522</v>
      </c>
      <c r="V478" s="601">
        <f t="shared" si="145"/>
        <v>183475</v>
      </c>
      <c r="W478" s="605">
        <f t="shared" si="146"/>
        <v>177392</v>
      </c>
      <c r="X478" s="305"/>
      <c r="Y478" s="299"/>
      <c r="Z478" s="298"/>
      <c r="AA478" s="299"/>
      <c r="AB478" s="298"/>
      <c r="AC478" s="299"/>
      <c r="AD478" s="298"/>
      <c r="AE478" s="299"/>
      <c r="AF478" s="601">
        <f t="shared" si="147"/>
        <v>0</v>
      </c>
      <c r="AG478" s="602">
        <f t="shared" si="148"/>
        <v>0</v>
      </c>
      <c r="AH478" s="603">
        <f t="shared" si="149"/>
        <v>0</v>
      </c>
      <c r="AI478" s="603">
        <f t="shared" si="150"/>
        <v>0</v>
      </c>
      <c r="AJ478" s="298"/>
      <c r="AK478" s="299"/>
      <c r="AL478" s="601">
        <f t="shared" si="151"/>
        <v>0</v>
      </c>
      <c r="AM478" s="604">
        <f t="shared" si="152"/>
        <v>0</v>
      </c>
      <c r="AN478" s="306"/>
      <c r="AO478" s="307"/>
      <c r="AP478" s="298"/>
      <c r="AQ478" s="307"/>
      <c r="AR478" s="298"/>
      <c r="AS478" s="307"/>
      <c r="AT478" s="298"/>
      <c r="AU478" s="307"/>
      <c r="AV478" s="601">
        <f t="shared" si="153"/>
        <v>0</v>
      </c>
      <c r="AW478" s="609">
        <f t="shared" si="154"/>
        <v>0</v>
      </c>
      <c r="AX478" s="603">
        <f t="shared" si="155"/>
        <v>0</v>
      </c>
      <c r="AY478" s="610">
        <f t="shared" si="156"/>
        <v>0</v>
      </c>
      <c r="AZ478" s="611">
        <f t="shared" si="157"/>
        <v>6115.833333333333</v>
      </c>
      <c r="BA478" s="603">
        <f t="shared" si="158"/>
        <v>5913.0666666666666</v>
      </c>
    </row>
    <row r="479" spans="1:53" ht="15">
      <c r="A479" s="475" t="s">
        <v>31</v>
      </c>
      <c r="B479" s="367" t="s">
        <v>660</v>
      </c>
      <c r="C479" s="476"/>
      <c r="D479" s="363">
        <v>219879</v>
      </c>
      <c r="E479" s="363">
        <v>9</v>
      </c>
      <c r="F479" s="296" t="s">
        <v>52</v>
      </c>
      <c r="G479" s="297" t="s">
        <v>52</v>
      </c>
      <c r="H479" s="298"/>
      <c r="I479" s="299"/>
      <c r="J479" s="298">
        <v>34942</v>
      </c>
      <c r="K479" s="477">
        <v>35853</v>
      </c>
      <c r="L479" s="298">
        <v>6115</v>
      </c>
      <c r="M479" s="477">
        <v>6569</v>
      </c>
      <c r="N479" s="298">
        <v>38877</v>
      </c>
      <c r="O479" s="477">
        <v>39251</v>
      </c>
      <c r="P479" s="601">
        <f t="shared" si="141"/>
        <v>79934</v>
      </c>
      <c r="Q479" s="602">
        <f t="shared" si="142"/>
        <v>2664.4666666666667</v>
      </c>
      <c r="R479" s="603">
        <f t="shared" si="143"/>
        <v>81673</v>
      </c>
      <c r="S479" s="604">
        <f t="shared" si="144"/>
        <v>2722.4333333333334</v>
      </c>
      <c r="T479" s="298">
        <v>3523</v>
      </c>
      <c r="U479" s="481">
        <v>3694</v>
      </c>
      <c r="V479" s="601">
        <f t="shared" si="145"/>
        <v>79934</v>
      </c>
      <c r="W479" s="605">
        <f t="shared" si="146"/>
        <v>81673</v>
      </c>
      <c r="X479" s="305"/>
      <c r="Y479" s="299"/>
      <c r="Z479" s="298"/>
      <c r="AA479" s="299"/>
      <c r="AB479" s="298"/>
      <c r="AC479" s="299"/>
      <c r="AD479" s="298"/>
      <c r="AE479" s="299"/>
      <c r="AF479" s="601">
        <f t="shared" si="147"/>
        <v>0</v>
      </c>
      <c r="AG479" s="602">
        <f t="shared" si="148"/>
        <v>0</v>
      </c>
      <c r="AH479" s="603">
        <f t="shared" si="149"/>
        <v>0</v>
      </c>
      <c r="AI479" s="603">
        <f t="shared" si="150"/>
        <v>0</v>
      </c>
      <c r="AJ479" s="298"/>
      <c r="AK479" s="299"/>
      <c r="AL479" s="601">
        <f t="shared" si="151"/>
        <v>0</v>
      </c>
      <c r="AM479" s="604">
        <f t="shared" si="152"/>
        <v>0</v>
      </c>
      <c r="AN479" s="306"/>
      <c r="AO479" s="307"/>
      <c r="AP479" s="298"/>
      <c r="AQ479" s="307"/>
      <c r="AR479" s="298"/>
      <c r="AS479" s="307"/>
      <c r="AT479" s="298"/>
      <c r="AU479" s="307"/>
      <c r="AV479" s="601">
        <f t="shared" si="153"/>
        <v>0</v>
      </c>
      <c r="AW479" s="609">
        <f t="shared" si="154"/>
        <v>0</v>
      </c>
      <c r="AX479" s="603">
        <f t="shared" si="155"/>
        <v>0</v>
      </c>
      <c r="AY479" s="610">
        <f t="shared" si="156"/>
        <v>0</v>
      </c>
      <c r="AZ479" s="611">
        <f t="shared" si="157"/>
        <v>2664.4666666666667</v>
      </c>
      <c r="BA479" s="603">
        <f t="shared" si="158"/>
        <v>2722.4333333333334</v>
      </c>
    </row>
    <row r="480" spans="1:53" ht="15">
      <c r="A480" s="475" t="s">
        <v>31</v>
      </c>
      <c r="B480" s="367" t="s">
        <v>661</v>
      </c>
      <c r="C480" s="476"/>
      <c r="D480" s="363">
        <v>219888</v>
      </c>
      <c r="E480" s="363">
        <v>9</v>
      </c>
      <c r="F480" s="296" t="s">
        <v>52</v>
      </c>
      <c r="G480" s="297" t="s">
        <v>52</v>
      </c>
      <c r="H480" s="298"/>
      <c r="I480" s="299"/>
      <c r="J480" s="298">
        <v>48645</v>
      </c>
      <c r="K480" s="477">
        <v>49503</v>
      </c>
      <c r="L480" s="298">
        <v>10926</v>
      </c>
      <c r="M480" s="600">
        <v>10063</v>
      </c>
      <c r="N480" s="298">
        <v>53689</v>
      </c>
      <c r="O480" s="477">
        <v>51259</v>
      </c>
      <c r="P480" s="601">
        <f t="shared" si="141"/>
        <v>113260</v>
      </c>
      <c r="Q480" s="602">
        <f t="shared" si="142"/>
        <v>3775.3333333333335</v>
      </c>
      <c r="R480" s="603">
        <f t="shared" si="143"/>
        <v>110825</v>
      </c>
      <c r="S480" s="604">
        <f t="shared" si="144"/>
        <v>3694.1666666666665</v>
      </c>
      <c r="T480" s="298">
        <v>3893</v>
      </c>
      <c r="U480" s="481">
        <v>4299</v>
      </c>
      <c r="V480" s="601">
        <f t="shared" si="145"/>
        <v>113260</v>
      </c>
      <c r="W480" s="605">
        <f t="shared" si="146"/>
        <v>110825</v>
      </c>
      <c r="X480" s="305"/>
      <c r="Y480" s="299"/>
      <c r="Z480" s="298"/>
      <c r="AA480" s="299"/>
      <c r="AB480" s="298"/>
      <c r="AC480" s="299"/>
      <c r="AD480" s="298"/>
      <c r="AE480" s="299"/>
      <c r="AF480" s="601">
        <f t="shared" si="147"/>
        <v>0</v>
      </c>
      <c r="AG480" s="602">
        <f t="shared" si="148"/>
        <v>0</v>
      </c>
      <c r="AH480" s="603">
        <f t="shared" si="149"/>
        <v>0</v>
      </c>
      <c r="AI480" s="603">
        <f t="shared" si="150"/>
        <v>0</v>
      </c>
      <c r="AJ480" s="298"/>
      <c r="AK480" s="299"/>
      <c r="AL480" s="601">
        <f t="shared" si="151"/>
        <v>0</v>
      </c>
      <c r="AM480" s="604">
        <f t="shared" si="152"/>
        <v>0</v>
      </c>
      <c r="AN480" s="306"/>
      <c r="AO480" s="307"/>
      <c r="AP480" s="298"/>
      <c r="AQ480" s="307"/>
      <c r="AR480" s="298"/>
      <c r="AS480" s="307"/>
      <c r="AT480" s="298"/>
      <c r="AU480" s="307"/>
      <c r="AV480" s="601">
        <f t="shared" si="153"/>
        <v>0</v>
      </c>
      <c r="AW480" s="609">
        <f t="shared" si="154"/>
        <v>0</v>
      </c>
      <c r="AX480" s="603">
        <f t="shared" si="155"/>
        <v>0</v>
      </c>
      <c r="AY480" s="610">
        <f t="shared" si="156"/>
        <v>0</v>
      </c>
      <c r="AZ480" s="611">
        <f t="shared" si="157"/>
        <v>3775.3333333333335</v>
      </c>
      <c r="BA480" s="603">
        <f t="shared" si="158"/>
        <v>3694.1666666666665</v>
      </c>
    </row>
    <row r="481" spans="1:53" ht="15">
      <c r="A481" s="475" t="s">
        <v>31</v>
      </c>
      <c r="B481" s="478" t="s">
        <v>669</v>
      </c>
      <c r="C481" s="495" t="s">
        <v>794</v>
      </c>
      <c r="D481" s="363">
        <v>220057</v>
      </c>
      <c r="E481" s="426">
        <v>9</v>
      </c>
      <c r="F481" s="296" t="s">
        <v>52</v>
      </c>
      <c r="G481" s="297" t="s">
        <v>52</v>
      </c>
      <c r="H481" s="298"/>
      <c r="I481" s="299"/>
      <c r="J481" s="298">
        <v>31663</v>
      </c>
      <c r="K481" s="477">
        <v>32038</v>
      </c>
      <c r="L481" s="298">
        <v>4778</v>
      </c>
      <c r="M481" s="477">
        <v>4254</v>
      </c>
      <c r="N481" s="298">
        <v>36290</v>
      </c>
      <c r="O481" s="477">
        <v>35004</v>
      </c>
      <c r="P481" s="601">
        <f t="shared" si="141"/>
        <v>72731</v>
      </c>
      <c r="Q481" s="602">
        <f t="shared" si="142"/>
        <v>2424.3666666666668</v>
      </c>
      <c r="R481" s="603">
        <f t="shared" si="143"/>
        <v>71296</v>
      </c>
      <c r="S481" s="604">
        <f t="shared" si="144"/>
        <v>2376.5333333333333</v>
      </c>
      <c r="T481" s="298">
        <v>5354</v>
      </c>
      <c r="U481" s="481">
        <v>6900</v>
      </c>
      <c r="V481" s="601">
        <f t="shared" si="145"/>
        <v>72731</v>
      </c>
      <c r="W481" s="605">
        <f t="shared" si="146"/>
        <v>71296</v>
      </c>
      <c r="X481" s="305"/>
      <c r="Y481" s="299"/>
      <c r="Z481" s="298"/>
      <c r="AA481" s="299"/>
      <c r="AB481" s="298"/>
      <c r="AC481" s="299"/>
      <c r="AD481" s="298"/>
      <c r="AE481" s="299"/>
      <c r="AF481" s="601">
        <f t="shared" si="147"/>
        <v>0</v>
      </c>
      <c r="AG481" s="602">
        <f t="shared" si="148"/>
        <v>0</v>
      </c>
      <c r="AH481" s="603">
        <f t="shared" si="149"/>
        <v>0</v>
      </c>
      <c r="AI481" s="603">
        <f t="shared" si="150"/>
        <v>0</v>
      </c>
      <c r="AJ481" s="298"/>
      <c r="AK481" s="299"/>
      <c r="AL481" s="601">
        <f t="shared" si="151"/>
        <v>0</v>
      </c>
      <c r="AM481" s="604">
        <f t="shared" si="152"/>
        <v>0</v>
      </c>
      <c r="AN481" s="306"/>
      <c r="AO481" s="307"/>
      <c r="AP481" s="298"/>
      <c r="AQ481" s="307"/>
      <c r="AR481" s="298"/>
      <c r="AS481" s="307"/>
      <c r="AT481" s="298"/>
      <c r="AU481" s="307"/>
      <c r="AV481" s="601">
        <f t="shared" si="153"/>
        <v>0</v>
      </c>
      <c r="AW481" s="609">
        <f t="shared" si="154"/>
        <v>0</v>
      </c>
      <c r="AX481" s="603">
        <f t="shared" si="155"/>
        <v>0</v>
      </c>
      <c r="AY481" s="610">
        <f t="shared" si="156"/>
        <v>0</v>
      </c>
      <c r="AZ481" s="611">
        <f t="shared" si="157"/>
        <v>2424.3666666666668</v>
      </c>
      <c r="BA481" s="603">
        <f t="shared" si="158"/>
        <v>2376.5333333333333</v>
      </c>
    </row>
    <row r="482" spans="1:53" ht="15">
      <c r="A482" s="475" t="s">
        <v>31</v>
      </c>
      <c r="B482" s="367" t="s">
        <v>662</v>
      </c>
      <c r="C482" s="476"/>
      <c r="D482" s="363">
        <v>220400</v>
      </c>
      <c r="E482" s="363">
        <v>9</v>
      </c>
      <c r="F482" s="296" t="s">
        <v>52</v>
      </c>
      <c r="G482" s="297" t="s">
        <v>52</v>
      </c>
      <c r="H482" s="298"/>
      <c r="I482" s="299"/>
      <c r="J482" s="298">
        <v>47836</v>
      </c>
      <c r="K482" s="477">
        <v>46043</v>
      </c>
      <c r="L482" s="298">
        <v>11798</v>
      </c>
      <c r="M482" s="477">
        <v>10492</v>
      </c>
      <c r="N482" s="298">
        <v>51152</v>
      </c>
      <c r="O482" s="477">
        <v>48893</v>
      </c>
      <c r="P482" s="601">
        <f t="shared" si="141"/>
        <v>110786</v>
      </c>
      <c r="Q482" s="602">
        <f t="shared" si="142"/>
        <v>3692.8666666666668</v>
      </c>
      <c r="R482" s="603">
        <f t="shared" si="143"/>
        <v>105428</v>
      </c>
      <c r="S482" s="604">
        <f t="shared" si="144"/>
        <v>3514.2666666666669</v>
      </c>
      <c r="T482" s="298">
        <v>4509</v>
      </c>
      <c r="U482" s="481">
        <v>4920</v>
      </c>
      <c r="V482" s="601">
        <f t="shared" si="145"/>
        <v>110786</v>
      </c>
      <c r="W482" s="605">
        <f t="shared" si="146"/>
        <v>105428</v>
      </c>
      <c r="X482" s="305"/>
      <c r="Y482" s="299"/>
      <c r="Z482" s="298"/>
      <c r="AA482" s="299"/>
      <c r="AB482" s="298"/>
      <c r="AC482" s="299"/>
      <c r="AD482" s="298"/>
      <c r="AE482" s="299"/>
      <c r="AF482" s="601">
        <f t="shared" si="147"/>
        <v>0</v>
      </c>
      <c r="AG482" s="602">
        <f t="shared" si="148"/>
        <v>0</v>
      </c>
      <c r="AH482" s="603">
        <f t="shared" si="149"/>
        <v>0</v>
      </c>
      <c r="AI482" s="603">
        <f t="shared" si="150"/>
        <v>0</v>
      </c>
      <c r="AJ482" s="298"/>
      <c r="AK482" s="299"/>
      <c r="AL482" s="601">
        <f t="shared" si="151"/>
        <v>0</v>
      </c>
      <c r="AM482" s="604">
        <f t="shared" si="152"/>
        <v>0</v>
      </c>
      <c r="AN482" s="306"/>
      <c r="AO482" s="307"/>
      <c r="AP482" s="298"/>
      <c r="AQ482" s="307"/>
      <c r="AR482" s="298"/>
      <c r="AS482" s="307"/>
      <c r="AT482" s="298"/>
      <c r="AU482" s="307"/>
      <c r="AV482" s="601">
        <f t="shared" si="153"/>
        <v>0</v>
      </c>
      <c r="AW482" s="609">
        <f t="shared" si="154"/>
        <v>0</v>
      </c>
      <c r="AX482" s="603">
        <f t="shared" si="155"/>
        <v>0</v>
      </c>
      <c r="AY482" s="610">
        <f t="shared" si="156"/>
        <v>0</v>
      </c>
      <c r="AZ482" s="611">
        <f t="shared" si="157"/>
        <v>3692.8666666666668</v>
      </c>
      <c r="BA482" s="603">
        <f t="shared" si="158"/>
        <v>3514.2666666666669</v>
      </c>
    </row>
    <row r="483" spans="1:53" ht="15">
      <c r="A483" s="475" t="s">
        <v>31</v>
      </c>
      <c r="B483" s="367" t="s">
        <v>663</v>
      </c>
      <c r="C483" s="476"/>
      <c r="D483" s="363">
        <v>221096</v>
      </c>
      <c r="E483" s="363">
        <v>9</v>
      </c>
      <c r="F483" s="296" t="s">
        <v>52</v>
      </c>
      <c r="G483" s="297" t="s">
        <v>52</v>
      </c>
      <c r="H483" s="298"/>
      <c r="I483" s="299"/>
      <c r="J483" s="298">
        <v>47308</v>
      </c>
      <c r="K483" s="477">
        <v>44700</v>
      </c>
      <c r="L483" s="298">
        <v>8458</v>
      </c>
      <c r="M483" s="477">
        <v>8939</v>
      </c>
      <c r="N483" s="298">
        <v>50050</v>
      </c>
      <c r="O483" s="477">
        <v>46034</v>
      </c>
      <c r="P483" s="601">
        <f t="shared" si="141"/>
        <v>105816</v>
      </c>
      <c r="Q483" s="602">
        <f t="shared" si="142"/>
        <v>3527.2</v>
      </c>
      <c r="R483" s="603">
        <f t="shared" si="143"/>
        <v>99673</v>
      </c>
      <c r="S483" s="604">
        <f t="shared" si="144"/>
        <v>3322.4333333333334</v>
      </c>
      <c r="T483" s="298">
        <v>4763</v>
      </c>
      <c r="U483" s="481">
        <v>5207</v>
      </c>
      <c r="V483" s="601">
        <f t="shared" si="145"/>
        <v>105816</v>
      </c>
      <c r="W483" s="605">
        <f t="shared" si="146"/>
        <v>99673</v>
      </c>
      <c r="X483" s="305"/>
      <c r="Y483" s="299"/>
      <c r="Z483" s="298"/>
      <c r="AA483" s="299"/>
      <c r="AB483" s="298"/>
      <c r="AC483" s="299"/>
      <c r="AD483" s="298"/>
      <c r="AE483" s="299"/>
      <c r="AF483" s="601">
        <f t="shared" si="147"/>
        <v>0</v>
      </c>
      <c r="AG483" s="602">
        <f t="shared" si="148"/>
        <v>0</v>
      </c>
      <c r="AH483" s="603">
        <f t="shared" si="149"/>
        <v>0</v>
      </c>
      <c r="AI483" s="603">
        <f t="shared" si="150"/>
        <v>0</v>
      </c>
      <c r="AJ483" s="298"/>
      <c r="AK483" s="299"/>
      <c r="AL483" s="601">
        <f t="shared" si="151"/>
        <v>0</v>
      </c>
      <c r="AM483" s="604">
        <f t="shared" si="152"/>
        <v>0</v>
      </c>
      <c r="AN483" s="306"/>
      <c r="AO483" s="307"/>
      <c r="AP483" s="298"/>
      <c r="AQ483" s="307"/>
      <c r="AR483" s="298"/>
      <c r="AS483" s="307"/>
      <c r="AT483" s="298"/>
      <c r="AU483" s="307"/>
      <c r="AV483" s="601">
        <f t="shared" si="153"/>
        <v>0</v>
      </c>
      <c r="AW483" s="609">
        <f t="shared" si="154"/>
        <v>0</v>
      </c>
      <c r="AX483" s="603">
        <f t="shared" si="155"/>
        <v>0</v>
      </c>
      <c r="AY483" s="610">
        <f t="shared" si="156"/>
        <v>0</v>
      </c>
      <c r="AZ483" s="611">
        <f t="shared" si="157"/>
        <v>3527.2</v>
      </c>
      <c r="BA483" s="603">
        <f t="shared" si="158"/>
        <v>3322.4333333333334</v>
      </c>
    </row>
    <row r="484" spans="1:53" ht="15">
      <c r="A484" s="475" t="s">
        <v>31</v>
      </c>
      <c r="B484" s="367" t="s">
        <v>665</v>
      </c>
      <c r="C484" s="476"/>
      <c r="D484" s="363">
        <v>221908</v>
      </c>
      <c r="E484" s="363">
        <v>9</v>
      </c>
      <c r="F484" s="296" t="s">
        <v>52</v>
      </c>
      <c r="G484" s="297" t="s">
        <v>52</v>
      </c>
      <c r="H484" s="298"/>
      <c r="I484" s="299"/>
      <c r="J484" s="298">
        <v>59628</v>
      </c>
      <c r="K484" s="477">
        <v>64441</v>
      </c>
      <c r="L484" s="298">
        <v>14453</v>
      </c>
      <c r="M484" s="477">
        <v>13266</v>
      </c>
      <c r="N484" s="298">
        <v>69362</v>
      </c>
      <c r="O484" s="477">
        <v>66339</v>
      </c>
      <c r="P484" s="601">
        <f t="shared" si="141"/>
        <v>143443</v>
      </c>
      <c r="Q484" s="602">
        <f t="shared" si="142"/>
        <v>4781.4333333333334</v>
      </c>
      <c r="R484" s="603">
        <f t="shared" si="143"/>
        <v>144046</v>
      </c>
      <c r="S484" s="604">
        <f t="shared" si="144"/>
        <v>4801.5333333333338</v>
      </c>
      <c r="T484" s="298">
        <v>2960</v>
      </c>
      <c r="U484" s="481">
        <v>4114</v>
      </c>
      <c r="V484" s="601">
        <f t="shared" si="145"/>
        <v>143443</v>
      </c>
      <c r="W484" s="605">
        <f t="shared" si="146"/>
        <v>144046</v>
      </c>
      <c r="X484" s="305"/>
      <c r="Y484" s="299"/>
      <c r="Z484" s="298"/>
      <c r="AA484" s="299"/>
      <c r="AB484" s="298"/>
      <c r="AC484" s="299"/>
      <c r="AD484" s="298"/>
      <c r="AE484" s="299"/>
      <c r="AF484" s="601">
        <f t="shared" si="147"/>
        <v>0</v>
      </c>
      <c r="AG484" s="602">
        <f t="shared" si="148"/>
        <v>0</v>
      </c>
      <c r="AH484" s="603">
        <f t="shared" si="149"/>
        <v>0</v>
      </c>
      <c r="AI484" s="603">
        <f t="shared" si="150"/>
        <v>0</v>
      </c>
      <c r="AJ484" s="298"/>
      <c r="AK484" s="299"/>
      <c r="AL484" s="601">
        <f t="shared" si="151"/>
        <v>0</v>
      </c>
      <c r="AM484" s="604">
        <f t="shared" si="152"/>
        <v>0</v>
      </c>
      <c r="AN484" s="306"/>
      <c r="AO484" s="307"/>
      <c r="AP484" s="298"/>
      <c r="AQ484" s="307"/>
      <c r="AR484" s="298"/>
      <c r="AS484" s="307"/>
      <c r="AT484" s="298"/>
      <c r="AU484" s="307"/>
      <c r="AV484" s="601">
        <f t="shared" si="153"/>
        <v>0</v>
      </c>
      <c r="AW484" s="609">
        <f t="shared" si="154"/>
        <v>0</v>
      </c>
      <c r="AX484" s="603">
        <f t="shared" si="155"/>
        <v>0</v>
      </c>
      <c r="AY484" s="610">
        <f t="shared" si="156"/>
        <v>0</v>
      </c>
      <c r="AZ484" s="611">
        <f t="shared" si="157"/>
        <v>4781.4333333333334</v>
      </c>
      <c r="BA484" s="603">
        <f t="shared" si="158"/>
        <v>4801.5333333333338</v>
      </c>
    </row>
    <row r="485" spans="1:53" ht="15">
      <c r="A485" s="475" t="s">
        <v>31</v>
      </c>
      <c r="B485" s="367" t="s">
        <v>666</v>
      </c>
      <c r="C485" s="476"/>
      <c r="D485" s="363">
        <v>221397</v>
      </c>
      <c r="E485" s="363">
        <v>9</v>
      </c>
      <c r="F485" s="296" t="s">
        <v>52</v>
      </c>
      <c r="G485" s="297" t="s">
        <v>52</v>
      </c>
      <c r="H485" s="298"/>
      <c r="I485" s="299"/>
      <c r="J485" s="298">
        <v>61362</v>
      </c>
      <c r="K485" s="477">
        <v>63123</v>
      </c>
      <c r="L485" s="298">
        <v>9645</v>
      </c>
      <c r="M485" s="477">
        <v>9542</v>
      </c>
      <c r="N485" s="298">
        <v>65842</v>
      </c>
      <c r="O485" s="477">
        <v>63077</v>
      </c>
      <c r="P485" s="601">
        <f t="shared" si="141"/>
        <v>136849</v>
      </c>
      <c r="Q485" s="602">
        <f t="shared" si="142"/>
        <v>4561.6333333333332</v>
      </c>
      <c r="R485" s="603">
        <f t="shared" si="143"/>
        <v>135742</v>
      </c>
      <c r="S485" s="604">
        <f t="shared" si="144"/>
        <v>4524.7333333333336</v>
      </c>
      <c r="T485" s="298">
        <v>6716</v>
      </c>
      <c r="U485" s="481">
        <v>8615</v>
      </c>
      <c r="V485" s="601">
        <f t="shared" si="145"/>
        <v>136849</v>
      </c>
      <c r="W485" s="605">
        <f t="shared" si="146"/>
        <v>135742</v>
      </c>
      <c r="X485" s="305"/>
      <c r="Y485" s="299"/>
      <c r="Z485" s="298"/>
      <c r="AA485" s="299"/>
      <c r="AB485" s="298"/>
      <c r="AC485" s="299"/>
      <c r="AD485" s="298"/>
      <c r="AE485" s="299"/>
      <c r="AF485" s="601">
        <f t="shared" si="147"/>
        <v>0</v>
      </c>
      <c r="AG485" s="602">
        <f t="shared" si="148"/>
        <v>0</v>
      </c>
      <c r="AH485" s="603">
        <f t="shared" si="149"/>
        <v>0</v>
      </c>
      <c r="AI485" s="603">
        <f t="shared" si="150"/>
        <v>0</v>
      </c>
      <c r="AJ485" s="298"/>
      <c r="AK485" s="299"/>
      <c r="AL485" s="601">
        <f t="shared" si="151"/>
        <v>0</v>
      </c>
      <c r="AM485" s="604">
        <f t="shared" si="152"/>
        <v>0</v>
      </c>
      <c r="AN485" s="306"/>
      <c r="AO485" s="307"/>
      <c r="AP485" s="298"/>
      <c r="AQ485" s="307"/>
      <c r="AR485" s="298"/>
      <c r="AS485" s="307"/>
      <c r="AT485" s="298"/>
      <c r="AU485" s="307"/>
      <c r="AV485" s="601">
        <f t="shared" si="153"/>
        <v>0</v>
      </c>
      <c r="AW485" s="609">
        <f t="shared" si="154"/>
        <v>0</v>
      </c>
      <c r="AX485" s="603">
        <f t="shared" si="155"/>
        <v>0</v>
      </c>
      <c r="AY485" s="610">
        <f t="shared" si="156"/>
        <v>0</v>
      </c>
      <c r="AZ485" s="611">
        <f t="shared" si="157"/>
        <v>4561.6333333333332</v>
      </c>
      <c r="BA485" s="603">
        <f t="shared" si="158"/>
        <v>4524.7333333333336</v>
      </c>
    </row>
    <row r="486" spans="1:53" ht="15">
      <c r="A486" s="475" t="s">
        <v>31</v>
      </c>
      <c r="B486" s="367" t="s">
        <v>668</v>
      </c>
      <c r="C486" s="476"/>
      <c r="D486" s="363">
        <v>222062</v>
      </c>
      <c r="E486" s="363">
        <v>9</v>
      </c>
      <c r="F486" s="296" t="s">
        <v>52</v>
      </c>
      <c r="G486" s="297" t="s">
        <v>52</v>
      </c>
      <c r="H486" s="298"/>
      <c r="I486" s="299"/>
      <c r="J486" s="298">
        <v>65058</v>
      </c>
      <c r="K486" s="477">
        <v>65479</v>
      </c>
      <c r="L486" s="298">
        <v>11393</v>
      </c>
      <c r="M486" s="477">
        <v>10622</v>
      </c>
      <c r="N486" s="298">
        <v>72124</v>
      </c>
      <c r="O486" s="477">
        <v>68930</v>
      </c>
      <c r="P486" s="601">
        <f t="shared" si="141"/>
        <v>148575</v>
      </c>
      <c r="Q486" s="602">
        <f t="shared" si="142"/>
        <v>4952.5</v>
      </c>
      <c r="R486" s="603">
        <f t="shared" si="143"/>
        <v>145031</v>
      </c>
      <c r="S486" s="604">
        <f t="shared" si="144"/>
        <v>4834.3666666666668</v>
      </c>
      <c r="T486" s="298">
        <v>6662</v>
      </c>
      <c r="U486" s="481">
        <v>7563</v>
      </c>
      <c r="V486" s="601">
        <f t="shared" si="145"/>
        <v>148575</v>
      </c>
      <c r="W486" s="605">
        <f t="shared" si="146"/>
        <v>145031</v>
      </c>
      <c r="X486" s="305"/>
      <c r="Y486" s="299"/>
      <c r="Z486" s="298"/>
      <c r="AA486" s="299"/>
      <c r="AB486" s="298"/>
      <c r="AC486" s="299"/>
      <c r="AD486" s="298"/>
      <c r="AE486" s="299"/>
      <c r="AF486" s="601">
        <f t="shared" si="147"/>
        <v>0</v>
      </c>
      <c r="AG486" s="602">
        <f t="shared" si="148"/>
        <v>0</v>
      </c>
      <c r="AH486" s="603">
        <f t="shared" si="149"/>
        <v>0</v>
      </c>
      <c r="AI486" s="603">
        <f t="shared" si="150"/>
        <v>0</v>
      </c>
      <c r="AJ486" s="298"/>
      <c r="AK486" s="299"/>
      <c r="AL486" s="601">
        <f t="shared" si="151"/>
        <v>0</v>
      </c>
      <c r="AM486" s="604">
        <f t="shared" si="152"/>
        <v>0</v>
      </c>
      <c r="AN486" s="306"/>
      <c r="AO486" s="307"/>
      <c r="AP486" s="298"/>
      <c r="AQ486" s="307"/>
      <c r="AR486" s="298"/>
      <c r="AS486" s="307"/>
      <c r="AT486" s="298"/>
      <c r="AU486" s="307"/>
      <c r="AV486" s="601">
        <f t="shared" si="153"/>
        <v>0</v>
      </c>
      <c r="AW486" s="609">
        <f t="shared" si="154"/>
        <v>0</v>
      </c>
      <c r="AX486" s="603">
        <f t="shared" si="155"/>
        <v>0</v>
      </c>
      <c r="AY486" s="610">
        <f t="shared" si="156"/>
        <v>0</v>
      </c>
      <c r="AZ486" s="611">
        <f t="shared" si="157"/>
        <v>4952.5</v>
      </c>
      <c r="BA486" s="603">
        <f t="shared" si="158"/>
        <v>4834.3666666666668</v>
      </c>
    </row>
    <row r="487" spans="1:53">
      <c r="A487" s="475" t="s">
        <v>31</v>
      </c>
      <c r="B487" s="367" t="s">
        <v>670</v>
      </c>
      <c r="C487" s="476"/>
      <c r="D487" s="363">
        <v>219596</v>
      </c>
      <c r="E487" s="363">
        <v>13</v>
      </c>
      <c r="F487" s="296" t="s">
        <v>52</v>
      </c>
      <c r="G487" s="297" t="s">
        <v>52</v>
      </c>
      <c r="H487" s="298"/>
      <c r="I487" s="299"/>
      <c r="J487" s="298"/>
      <c r="K487" s="299"/>
      <c r="L487" s="298"/>
      <c r="M487" s="299"/>
      <c r="N487" s="298"/>
      <c r="O487" s="299"/>
      <c r="P487" s="601">
        <f t="shared" si="141"/>
        <v>0</v>
      </c>
      <c r="Q487" s="602">
        <f t="shared" si="142"/>
        <v>0</v>
      </c>
      <c r="R487" s="603">
        <f t="shared" si="143"/>
        <v>0</v>
      </c>
      <c r="S487" s="604">
        <f t="shared" si="144"/>
        <v>0</v>
      </c>
      <c r="T487" s="298"/>
      <c r="U487" s="299"/>
      <c r="V487" s="601">
        <f t="shared" si="145"/>
        <v>0</v>
      </c>
      <c r="W487" s="605">
        <f t="shared" si="146"/>
        <v>0</v>
      </c>
      <c r="X487" s="305"/>
      <c r="Y487" s="299"/>
      <c r="Z487" s="298">
        <v>93990</v>
      </c>
      <c r="AA487" s="299">
        <v>77484</v>
      </c>
      <c r="AB487" s="298">
        <v>91694</v>
      </c>
      <c r="AC487" s="299">
        <v>67456</v>
      </c>
      <c r="AD487" s="298">
        <v>81228</v>
      </c>
      <c r="AE487" s="299">
        <v>147712</v>
      </c>
      <c r="AF487" s="601">
        <f t="shared" si="147"/>
        <v>266912</v>
      </c>
      <c r="AG487" s="602">
        <f t="shared" si="148"/>
        <v>296.56888888888886</v>
      </c>
      <c r="AH487" s="603">
        <f t="shared" si="149"/>
        <v>292652</v>
      </c>
      <c r="AI487" s="603">
        <f t="shared" si="150"/>
        <v>325.16888888888889</v>
      </c>
      <c r="AJ487" s="298"/>
      <c r="AK487" s="299"/>
      <c r="AL487" s="601">
        <f t="shared" si="151"/>
        <v>0</v>
      </c>
      <c r="AM487" s="604">
        <f t="shared" si="152"/>
        <v>0</v>
      </c>
      <c r="AN487" s="306"/>
      <c r="AO487" s="307"/>
      <c r="AP487" s="298"/>
      <c r="AQ487" s="307"/>
      <c r="AR487" s="298"/>
      <c r="AS487" s="307"/>
      <c r="AT487" s="298"/>
      <c r="AU487" s="307"/>
      <c r="AV487" s="601">
        <f t="shared" si="153"/>
        <v>0</v>
      </c>
      <c r="AW487" s="609">
        <f t="shared" si="154"/>
        <v>0</v>
      </c>
      <c r="AX487" s="603">
        <f t="shared" si="155"/>
        <v>0</v>
      </c>
      <c r="AY487" s="610">
        <f t="shared" si="156"/>
        <v>0</v>
      </c>
      <c r="AZ487" s="611">
        <f t="shared" si="157"/>
        <v>296.56888888888886</v>
      </c>
      <c r="BA487" s="603">
        <f t="shared" si="158"/>
        <v>325.16888888888889</v>
      </c>
    </row>
    <row r="488" spans="1:53">
      <c r="A488" s="475" t="s">
        <v>31</v>
      </c>
      <c r="B488" s="478" t="s">
        <v>671</v>
      </c>
      <c r="C488" s="479" t="s">
        <v>795</v>
      </c>
      <c r="D488" s="363" t="s">
        <v>672</v>
      </c>
      <c r="E488" s="363">
        <v>13</v>
      </c>
      <c r="F488" s="296" t="s">
        <v>52</v>
      </c>
      <c r="G488" s="297" t="s">
        <v>52</v>
      </c>
      <c r="H488" s="298"/>
      <c r="I488" s="299"/>
      <c r="J488" s="298"/>
      <c r="K488" s="299"/>
      <c r="L488" s="298"/>
      <c r="M488" s="299"/>
      <c r="N488" s="298"/>
      <c r="O488" s="299"/>
      <c r="P488" s="601">
        <f t="shared" si="141"/>
        <v>0</v>
      </c>
      <c r="Q488" s="602">
        <f t="shared" si="142"/>
        <v>0</v>
      </c>
      <c r="R488" s="603">
        <f t="shared" si="143"/>
        <v>0</v>
      </c>
      <c r="S488" s="604">
        <f t="shared" si="144"/>
        <v>0</v>
      </c>
      <c r="T488" s="298"/>
      <c r="U488" s="299"/>
      <c r="V488" s="601">
        <f t="shared" si="145"/>
        <v>0</v>
      </c>
      <c r="W488" s="605">
        <f t="shared" si="146"/>
        <v>0</v>
      </c>
      <c r="X488" s="305"/>
      <c r="Y488" s="299"/>
      <c r="Z488" s="298">
        <v>354565</v>
      </c>
      <c r="AA488" s="299">
        <v>356303</v>
      </c>
      <c r="AB488" s="298">
        <v>206919</v>
      </c>
      <c r="AC488" s="299">
        <v>234404</v>
      </c>
      <c r="AD488" s="298">
        <v>379020</v>
      </c>
      <c r="AE488" s="299">
        <v>591004</v>
      </c>
      <c r="AF488" s="601">
        <f t="shared" si="147"/>
        <v>940504</v>
      </c>
      <c r="AG488" s="602">
        <f t="shared" si="148"/>
        <v>1045.0044444444445</v>
      </c>
      <c r="AH488" s="603">
        <f t="shared" si="149"/>
        <v>1181711</v>
      </c>
      <c r="AI488" s="603">
        <f t="shared" si="150"/>
        <v>1313.0122222222221</v>
      </c>
      <c r="AJ488" s="298"/>
      <c r="AK488" s="299"/>
      <c r="AL488" s="601">
        <f t="shared" si="151"/>
        <v>0</v>
      </c>
      <c r="AM488" s="604">
        <f t="shared" si="152"/>
        <v>0</v>
      </c>
      <c r="AN488" s="306"/>
      <c r="AO488" s="307"/>
      <c r="AP488" s="298"/>
      <c r="AQ488" s="307"/>
      <c r="AR488" s="298"/>
      <c r="AS488" s="307"/>
      <c r="AT488" s="298"/>
      <c r="AU488" s="307"/>
      <c r="AV488" s="601">
        <f t="shared" si="153"/>
        <v>0</v>
      </c>
      <c r="AW488" s="609">
        <f t="shared" si="154"/>
        <v>0</v>
      </c>
      <c r="AX488" s="603">
        <f t="shared" si="155"/>
        <v>0</v>
      </c>
      <c r="AY488" s="610">
        <f t="shared" si="156"/>
        <v>0</v>
      </c>
      <c r="AZ488" s="611">
        <f t="shared" si="157"/>
        <v>1045.0044444444445</v>
      </c>
      <c r="BA488" s="603">
        <f t="shared" si="158"/>
        <v>1313.0122222222221</v>
      </c>
    </row>
    <row r="489" spans="1:53">
      <c r="A489" s="475" t="s">
        <v>31</v>
      </c>
      <c r="B489" s="367" t="s">
        <v>673</v>
      </c>
      <c r="C489" s="476"/>
      <c r="D489" s="363">
        <v>219921</v>
      </c>
      <c r="E489" s="363">
        <v>13</v>
      </c>
      <c r="F489" s="296" t="s">
        <v>52</v>
      </c>
      <c r="G489" s="297" t="s">
        <v>52</v>
      </c>
      <c r="H489" s="298"/>
      <c r="I489" s="299"/>
      <c r="J489" s="298"/>
      <c r="K489" s="299"/>
      <c r="L489" s="298"/>
      <c r="M489" s="299"/>
      <c r="N489" s="298"/>
      <c r="O489" s="299"/>
      <c r="P489" s="601">
        <f t="shared" si="141"/>
        <v>0</v>
      </c>
      <c r="Q489" s="602">
        <f t="shared" si="142"/>
        <v>0</v>
      </c>
      <c r="R489" s="603">
        <f t="shared" si="143"/>
        <v>0</v>
      </c>
      <c r="S489" s="604">
        <f t="shared" si="144"/>
        <v>0</v>
      </c>
      <c r="T489" s="298"/>
      <c r="U489" s="299"/>
      <c r="V489" s="601">
        <f t="shared" si="145"/>
        <v>0</v>
      </c>
      <c r="W489" s="605">
        <f t="shared" si="146"/>
        <v>0</v>
      </c>
      <c r="X489" s="305"/>
      <c r="Y489" s="299"/>
      <c r="Z489" s="298">
        <v>68475</v>
      </c>
      <c r="AA489" s="299">
        <v>57639</v>
      </c>
      <c r="AB489" s="298">
        <v>60735</v>
      </c>
      <c r="AC489" s="299">
        <v>49086</v>
      </c>
      <c r="AD489" s="298">
        <v>65996</v>
      </c>
      <c r="AE489" s="299">
        <v>108705</v>
      </c>
      <c r="AF489" s="601">
        <f t="shared" si="147"/>
        <v>195206</v>
      </c>
      <c r="AG489" s="602">
        <f t="shared" si="148"/>
        <v>216.89555555555555</v>
      </c>
      <c r="AH489" s="603">
        <f t="shared" si="149"/>
        <v>215430</v>
      </c>
      <c r="AI489" s="603">
        <f t="shared" si="150"/>
        <v>239.36666666666667</v>
      </c>
      <c r="AJ489" s="298"/>
      <c r="AK489" s="299"/>
      <c r="AL489" s="601">
        <f t="shared" si="151"/>
        <v>0</v>
      </c>
      <c r="AM489" s="604">
        <f t="shared" si="152"/>
        <v>0</v>
      </c>
      <c r="AN489" s="306"/>
      <c r="AO489" s="307"/>
      <c r="AP489" s="298"/>
      <c r="AQ489" s="307"/>
      <c r="AR489" s="298"/>
      <c r="AS489" s="307"/>
      <c r="AT489" s="298"/>
      <c r="AU489" s="307"/>
      <c r="AV489" s="601">
        <f t="shared" si="153"/>
        <v>0</v>
      </c>
      <c r="AW489" s="609">
        <f t="shared" si="154"/>
        <v>0</v>
      </c>
      <c r="AX489" s="603">
        <f t="shared" si="155"/>
        <v>0</v>
      </c>
      <c r="AY489" s="610">
        <f t="shared" si="156"/>
        <v>0</v>
      </c>
      <c r="AZ489" s="611">
        <f t="shared" si="157"/>
        <v>216.89555555555555</v>
      </c>
      <c r="BA489" s="603">
        <f t="shared" si="158"/>
        <v>239.36666666666667</v>
      </c>
    </row>
    <row r="490" spans="1:53">
      <c r="A490" s="475" t="s">
        <v>31</v>
      </c>
      <c r="B490" s="367" t="s">
        <v>674</v>
      </c>
      <c r="C490" s="476"/>
      <c r="D490" s="363">
        <v>221591</v>
      </c>
      <c r="E490" s="363">
        <v>13</v>
      </c>
      <c r="F490" s="296" t="s">
        <v>52</v>
      </c>
      <c r="G490" s="297" t="s">
        <v>52</v>
      </c>
      <c r="H490" s="298"/>
      <c r="I490" s="299"/>
      <c r="J490" s="298"/>
      <c r="K490" s="299"/>
      <c r="L490" s="298"/>
      <c r="M490" s="299"/>
      <c r="N490" s="298"/>
      <c r="O490" s="299"/>
      <c r="P490" s="601">
        <f t="shared" si="141"/>
        <v>0</v>
      </c>
      <c r="Q490" s="602">
        <f t="shared" si="142"/>
        <v>0</v>
      </c>
      <c r="R490" s="603">
        <f t="shared" si="143"/>
        <v>0</v>
      </c>
      <c r="S490" s="604">
        <f t="shared" si="144"/>
        <v>0</v>
      </c>
      <c r="T490" s="298"/>
      <c r="U490" s="299"/>
      <c r="V490" s="601">
        <f t="shared" si="145"/>
        <v>0</v>
      </c>
      <c r="W490" s="605">
        <f t="shared" si="146"/>
        <v>0</v>
      </c>
      <c r="X490" s="305"/>
      <c r="Y490" s="299"/>
      <c r="Z490" s="298">
        <v>140840</v>
      </c>
      <c r="AA490" s="299">
        <v>114661</v>
      </c>
      <c r="AB490" s="298">
        <v>110775</v>
      </c>
      <c r="AC490" s="299">
        <v>87519</v>
      </c>
      <c r="AD490" s="298">
        <v>113898</v>
      </c>
      <c r="AE490" s="299">
        <v>203044</v>
      </c>
      <c r="AF490" s="601">
        <f t="shared" si="147"/>
        <v>365513</v>
      </c>
      <c r="AG490" s="602">
        <f t="shared" si="148"/>
        <v>406.12555555555554</v>
      </c>
      <c r="AH490" s="603">
        <f t="shared" si="149"/>
        <v>405224</v>
      </c>
      <c r="AI490" s="603">
        <f t="shared" si="150"/>
        <v>450.24888888888887</v>
      </c>
      <c r="AJ490" s="298"/>
      <c r="AK490" s="299"/>
      <c r="AL490" s="601">
        <f t="shared" si="151"/>
        <v>0</v>
      </c>
      <c r="AM490" s="604">
        <f t="shared" si="152"/>
        <v>0</v>
      </c>
      <c r="AN490" s="306"/>
      <c r="AO490" s="307"/>
      <c r="AP490" s="298"/>
      <c r="AQ490" s="307"/>
      <c r="AR490" s="298"/>
      <c r="AS490" s="307"/>
      <c r="AT490" s="298"/>
      <c r="AU490" s="307"/>
      <c r="AV490" s="601">
        <f t="shared" si="153"/>
        <v>0</v>
      </c>
      <c r="AW490" s="609">
        <f t="shared" si="154"/>
        <v>0</v>
      </c>
      <c r="AX490" s="603">
        <f t="shared" si="155"/>
        <v>0</v>
      </c>
      <c r="AY490" s="610">
        <f t="shared" si="156"/>
        <v>0</v>
      </c>
      <c r="AZ490" s="611">
        <f t="shared" si="157"/>
        <v>406.12555555555554</v>
      </c>
      <c r="BA490" s="603">
        <f t="shared" si="158"/>
        <v>450.24888888888887</v>
      </c>
    </row>
    <row r="491" spans="1:53">
      <c r="A491" s="475" t="s">
        <v>31</v>
      </c>
      <c r="B491" s="367" t="s">
        <v>675</v>
      </c>
      <c r="C491" s="476"/>
      <c r="D491" s="363">
        <v>221430</v>
      </c>
      <c r="E491" s="363">
        <v>13</v>
      </c>
      <c r="F491" s="296" t="s">
        <v>52</v>
      </c>
      <c r="G491" s="297" t="s">
        <v>52</v>
      </c>
      <c r="H491" s="298"/>
      <c r="I491" s="299"/>
      <c r="J491" s="298"/>
      <c r="K491" s="299"/>
      <c r="L491" s="298"/>
      <c r="M491" s="299"/>
      <c r="N491" s="298"/>
      <c r="O491" s="299"/>
      <c r="P491" s="601">
        <f t="shared" si="141"/>
        <v>0</v>
      </c>
      <c r="Q491" s="602">
        <f t="shared" si="142"/>
        <v>0</v>
      </c>
      <c r="R491" s="603">
        <f t="shared" si="143"/>
        <v>0</v>
      </c>
      <c r="S491" s="604">
        <f t="shared" si="144"/>
        <v>0</v>
      </c>
      <c r="T491" s="298"/>
      <c r="U491" s="299"/>
      <c r="V491" s="601">
        <f t="shared" si="145"/>
        <v>0</v>
      </c>
      <c r="W491" s="605">
        <f t="shared" si="146"/>
        <v>0</v>
      </c>
      <c r="X491" s="305"/>
      <c r="Y491" s="299"/>
      <c r="Z491" s="298">
        <v>102301</v>
      </c>
      <c r="AA491" s="299">
        <v>77512</v>
      </c>
      <c r="AB491" s="298">
        <v>85295</v>
      </c>
      <c r="AC491" s="299">
        <v>65429</v>
      </c>
      <c r="AD491" s="298">
        <v>93410</v>
      </c>
      <c r="AE491" s="299">
        <v>144921</v>
      </c>
      <c r="AF491" s="601">
        <f t="shared" si="147"/>
        <v>281006</v>
      </c>
      <c r="AG491" s="602">
        <f t="shared" si="148"/>
        <v>312.22888888888889</v>
      </c>
      <c r="AH491" s="603">
        <f t="shared" si="149"/>
        <v>287862</v>
      </c>
      <c r="AI491" s="603">
        <f t="shared" si="150"/>
        <v>319.84666666666669</v>
      </c>
      <c r="AJ491" s="298"/>
      <c r="AK491" s="299"/>
      <c r="AL491" s="601">
        <f t="shared" si="151"/>
        <v>0</v>
      </c>
      <c r="AM491" s="604">
        <f t="shared" si="152"/>
        <v>0</v>
      </c>
      <c r="AN491" s="306"/>
      <c r="AO491" s="307"/>
      <c r="AP491" s="298"/>
      <c r="AQ491" s="307"/>
      <c r="AR491" s="298"/>
      <c r="AS491" s="307"/>
      <c r="AT491" s="298"/>
      <c r="AU491" s="307"/>
      <c r="AV491" s="601">
        <f t="shared" si="153"/>
        <v>0</v>
      </c>
      <c r="AW491" s="609">
        <f t="shared" si="154"/>
        <v>0</v>
      </c>
      <c r="AX491" s="603">
        <f t="shared" si="155"/>
        <v>0</v>
      </c>
      <c r="AY491" s="610">
        <f t="shared" si="156"/>
        <v>0</v>
      </c>
      <c r="AZ491" s="611">
        <f t="shared" si="157"/>
        <v>312.22888888888889</v>
      </c>
      <c r="BA491" s="603">
        <f t="shared" si="158"/>
        <v>319.84666666666669</v>
      </c>
    </row>
    <row r="492" spans="1:53">
      <c r="A492" s="475" t="s">
        <v>31</v>
      </c>
      <c r="B492" s="367" t="s">
        <v>676</v>
      </c>
      <c r="C492" s="476"/>
      <c r="D492" s="363">
        <v>219994</v>
      </c>
      <c r="E492" s="363">
        <v>13</v>
      </c>
      <c r="F492" s="296" t="s">
        <v>52</v>
      </c>
      <c r="G492" s="297" t="s">
        <v>52</v>
      </c>
      <c r="H492" s="298"/>
      <c r="I492" s="299"/>
      <c r="J492" s="298"/>
      <c r="K492" s="299"/>
      <c r="L492" s="298"/>
      <c r="M492" s="299"/>
      <c r="N492" s="298"/>
      <c r="O492" s="299"/>
      <c r="P492" s="601">
        <f t="shared" si="141"/>
        <v>0</v>
      </c>
      <c r="Q492" s="602">
        <f t="shared" si="142"/>
        <v>0</v>
      </c>
      <c r="R492" s="603">
        <f t="shared" si="143"/>
        <v>0</v>
      </c>
      <c r="S492" s="604">
        <f t="shared" si="144"/>
        <v>0</v>
      </c>
      <c r="T492" s="298"/>
      <c r="U492" s="299"/>
      <c r="V492" s="601">
        <f t="shared" si="145"/>
        <v>0</v>
      </c>
      <c r="W492" s="605">
        <f t="shared" si="146"/>
        <v>0</v>
      </c>
      <c r="X492" s="305"/>
      <c r="Y492" s="299"/>
      <c r="Z492" s="298">
        <v>184311</v>
      </c>
      <c r="AA492" s="299">
        <v>177826</v>
      </c>
      <c r="AB492" s="298">
        <v>177369</v>
      </c>
      <c r="AC492" s="299">
        <v>161193</v>
      </c>
      <c r="AD492" s="298">
        <v>195566</v>
      </c>
      <c r="AE492" s="299">
        <v>341197</v>
      </c>
      <c r="AF492" s="601">
        <f t="shared" si="147"/>
        <v>557246</v>
      </c>
      <c r="AG492" s="602">
        <f t="shared" si="148"/>
        <v>619.16222222222223</v>
      </c>
      <c r="AH492" s="603">
        <f t="shared" si="149"/>
        <v>680216</v>
      </c>
      <c r="AI492" s="603">
        <f t="shared" si="150"/>
        <v>755.79555555555555</v>
      </c>
      <c r="AJ492" s="298"/>
      <c r="AK492" s="299"/>
      <c r="AL492" s="601">
        <f t="shared" si="151"/>
        <v>0</v>
      </c>
      <c r="AM492" s="604">
        <f t="shared" si="152"/>
        <v>0</v>
      </c>
      <c r="AN492" s="306"/>
      <c r="AO492" s="307"/>
      <c r="AP492" s="298"/>
      <c r="AQ492" s="307"/>
      <c r="AR492" s="298"/>
      <c r="AS492" s="307"/>
      <c r="AT492" s="298"/>
      <c r="AU492" s="307"/>
      <c r="AV492" s="601">
        <f t="shared" si="153"/>
        <v>0</v>
      </c>
      <c r="AW492" s="609">
        <f t="shared" si="154"/>
        <v>0</v>
      </c>
      <c r="AX492" s="603">
        <f t="shared" si="155"/>
        <v>0</v>
      </c>
      <c r="AY492" s="610">
        <f t="shared" si="156"/>
        <v>0</v>
      </c>
      <c r="AZ492" s="611">
        <f t="shared" si="157"/>
        <v>619.16222222222223</v>
      </c>
      <c r="BA492" s="603">
        <f t="shared" si="158"/>
        <v>755.79555555555555</v>
      </c>
    </row>
    <row r="493" spans="1:53">
      <c r="A493" s="475" t="s">
        <v>31</v>
      </c>
      <c r="B493" s="367" t="s">
        <v>677</v>
      </c>
      <c r="C493" s="476"/>
      <c r="D493" s="363">
        <v>220127</v>
      </c>
      <c r="E493" s="363">
        <v>13</v>
      </c>
      <c r="F493" s="296" t="s">
        <v>52</v>
      </c>
      <c r="G493" s="297" t="s">
        <v>52</v>
      </c>
      <c r="H493" s="298"/>
      <c r="I493" s="299"/>
      <c r="J493" s="298"/>
      <c r="K493" s="299"/>
      <c r="L493" s="298"/>
      <c r="M493" s="299"/>
      <c r="N493" s="298"/>
      <c r="O493" s="299"/>
      <c r="P493" s="601">
        <f t="shared" si="141"/>
        <v>0</v>
      </c>
      <c r="Q493" s="602">
        <f t="shared" si="142"/>
        <v>0</v>
      </c>
      <c r="R493" s="603">
        <f t="shared" si="143"/>
        <v>0</v>
      </c>
      <c r="S493" s="604">
        <f t="shared" si="144"/>
        <v>0</v>
      </c>
      <c r="T493" s="298"/>
      <c r="U493" s="299"/>
      <c r="V493" s="601">
        <f t="shared" si="145"/>
        <v>0</v>
      </c>
      <c r="W493" s="605">
        <f t="shared" si="146"/>
        <v>0</v>
      </c>
      <c r="X493" s="305"/>
      <c r="Y493" s="299"/>
      <c r="Z493" s="298">
        <v>175137</v>
      </c>
      <c r="AA493" s="299">
        <v>166940</v>
      </c>
      <c r="AB493" s="298">
        <v>168235</v>
      </c>
      <c r="AC493" s="299">
        <v>158091</v>
      </c>
      <c r="AD493" s="298">
        <v>175569</v>
      </c>
      <c r="AE493" s="299">
        <v>326028</v>
      </c>
      <c r="AF493" s="601">
        <f t="shared" si="147"/>
        <v>518941</v>
      </c>
      <c r="AG493" s="602">
        <f t="shared" si="148"/>
        <v>576.60111111111109</v>
      </c>
      <c r="AH493" s="603">
        <f t="shared" si="149"/>
        <v>651059</v>
      </c>
      <c r="AI493" s="603">
        <f t="shared" si="150"/>
        <v>723.39888888888891</v>
      </c>
      <c r="AJ493" s="298"/>
      <c r="AK493" s="299"/>
      <c r="AL493" s="601">
        <f t="shared" si="151"/>
        <v>0</v>
      </c>
      <c r="AM493" s="604">
        <f t="shared" si="152"/>
        <v>0</v>
      </c>
      <c r="AN493" s="306"/>
      <c r="AO493" s="307"/>
      <c r="AP493" s="298"/>
      <c r="AQ493" s="307"/>
      <c r="AR493" s="298"/>
      <c r="AS493" s="307"/>
      <c r="AT493" s="298"/>
      <c r="AU493" s="307"/>
      <c r="AV493" s="601">
        <f t="shared" si="153"/>
        <v>0</v>
      </c>
      <c r="AW493" s="609">
        <f t="shared" si="154"/>
        <v>0</v>
      </c>
      <c r="AX493" s="603">
        <f t="shared" si="155"/>
        <v>0</v>
      </c>
      <c r="AY493" s="610">
        <f t="shared" si="156"/>
        <v>0</v>
      </c>
      <c r="AZ493" s="611">
        <f t="shared" si="157"/>
        <v>576.60111111111109</v>
      </c>
      <c r="BA493" s="603">
        <f t="shared" si="158"/>
        <v>723.39888888888891</v>
      </c>
    </row>
    <row r="494" spans="1:53">
      <c r="A494" s="475" t="s">
        <v>31</v>
      </c>
      <c r="B494" s="367" t="s">
        <v>678</v>
      </c>
      <c r="C494" s="476"/>
      <c r="D494" s="363">
        <v>220251</v>
      </c>
      <c r="E494" s="363">
        <v>13</v>
      </c>
      <c r="F494" s="296" t="s">
        <v>52</v>
      </c>
      <c r="G494" s="297" t="s">
        <v>52</v>
      </c>
      <c r="H494" s="298"/>
      <c r="I494" s="299"/>
      <c r="J494" s="298"/>
      <c r="K494" s="299"/>
      <c r="L494" s="298"/>
      <c r="M494" s="299"/>
      <c r="N494" s="298"/>
      <c r="O494" s="299"/>
      <c r="P494" s="601">
        <f t="shared" si="141"/>
        <v>0</v>
      </c>
      <c r="Q494" s="602">
        <f t="shared" si="142"/>
        <v>0</v>
      </c>
      <c r="R494" s="603">
        <f t="shared" si="143"/>
        <v>0</v>
      </c>
      <c r="S494" s="604">
        <f t="shared" si="144"/>
        <v>0</v>
      </c>
      <c r="T494" s="298"/>
      <c r="U494" s="299"/>
      <c r="V494" s="601">
        <f t="shared" si="145"/>
        <v>0</v>
      </c>
      <c r="W494" s="605">
        <f t="shared" si="146"/>
        <v>0</v>
      </c>
      <c r="X494" s="305"/>
      <c r="Y494" s="299"/>
      <c r="Z494" s="298">
        <v>110613</v>
      </c>
      <c r="AA494" s="299">
        <v>100943</v>
      </c>
      <c r="AB494" s="298">
        <v>94914</v>
      </c>
      <c r="AC494" s="299">
        <v>69188</v>
      </c>
      <c r="AD494" s="298">
        <v>98017</v>
      </c>
      <c r="AE494" s="299">
        <v>173497</v>
      </c>
      <c r="AF494" s="601">
        <f t="shared" si="147"/>
        <v>303544</v>
      </c>
      <c r="AG494" s="602">
        <f t="shared" si="148"/>
        <v>337.27111111111111</v>
      </c>
      <c r="AH494" s="603">
        <f t="shared" si="149"/>
        <v>343628</v>
      </c>
      <c r="AI494" s="603">
        <f t="shared" si="150"/>
        <v>381.80888888888887</v>
      </c>
      <c r="AJ494" s="298"/>
      <c r="AK494" s="299"/>
      <c r="AL494" s="601">
        <f t="shared" si="151"/>
        <v>0</v>
      </c>
      <c r="AM494" s="604">
        <f t="shared" si="152"/>
        <v>0</v>
      </c>
      <c r="AN494" s="306"/>
      <c r="AO494" s="307"/>
      <c r="AP494" s="298"/>
      <c r="AQ494" s="307"/>
      <c r="AR494" s="298"/>
      <c r="AS494" s="307"/>
      <c r="AT494" s="298"/>
      <c r="AU494" s="307"/>
      <c r="AV494" s="601">
        <f t="shared" si="153"/>
        <v>0</v>
      </c>
      <c r="AW494" s="609">
        <f t="shared" si="154"/>
        <v>0</v>
      </c>
      <c r="AX494" s="603">
        <f t="shared" si="155"/>
        <v>0</v>
      </c>
      <c r="AY494" s="610">
        <f t="shared" si="156"/>
        <v>0</v>
      </c>
      <c r="AZ494" s="611">
        <f t="shared" si="157"/>
        <v>337.27111111111111</v>
      </c>
      <c r="BA494" s="603">
        <f t="shared" si="158"/>
        <v>381.80888888888887</v>
      </c>
    </row>
    <row r="495" spans="1:53">
      <c r="A495" s="475" t="s">
        <v>31</v>
      </c>
      <c r="B495" s="367" t="s">
        <v>679</v>
      </c>
      <c r="C495" s="476"/>
      <c r="D495" s="363">
        <v>220279</v>
      </c>
      <c r="E495" s="363">
        <v>13</v>
      </c>
      <c r="F495" s="296" t="s">
        <v>52</v>
      </c>
      <c r="G495" s="297" t="s">
        <v>52</v>
      </c>
      <c r="H495" s="298"/>
      <c r="I495" s="299"/>
      <c r="J495" s="298"/>
      <c r="K495" s="299"/>
      <c r="L495" s="298"/>
      <c r="M495" s="299"/>
      <c r="N495" s="298"/>
      <c r="O495" s="299"/>
      <c r="P495" s="601">
        <f t="shared" si="141"/>
        <v>0</v>
      </c>
      <c r="Q495" s="602">
        <f t="shared" si="142"/>
        <v>0</v>
      </c>
      <c r="R495" s="603">
        <f t="shared" si="143"/>
        <v>0</v>
      </c>
      <c r="S495" s="604">
        <f t="shared" si="144"/>
        <v>0</v>
      </c>
      <c r="T495" s="298"/>
      <c r="U495" s="299"/>
      <c r="V495" s="601">
        <f t="shared" si="145"/>
        <v>0</v>
      </c>
      <c r="W495" s="605">
        <f t="shared" si="146"/>
        <v>0</v>
      </c>
      <c r="X495" s="305"/>
      <c r="Y495" s="299"/>
      <c r="Z495" s="298">
        <v>143959</v>
      </c>
      <c r="AA495" s="299">
        <v>142474</v>
      </c>
      <c r="AB495" s="298">
        <v>116475</v>
      </c>
      <c r="AC495" s="299">
        <v>97558</v>
      </c>
      <c r="AD495" s="298">
        <v>160221</v>
      </c>
      <c r="AE495" s="299">
        <v>240824</v>
      </c>
      <c r="AF495" s="601">
        <f t="shared" si="147"/>
        <v>420655</v>
      </c>
      <c r="AG495" s="602">
        <f t="shared" si="148"/>
        <v>467.39444444444445</v>
      </c>
      <c r="AH495" s="603">
        <f t="shared" si="149"/>
        <v>480856</v>
      </c>
      <c r="AI495" s="603">
        <f t="shared" si="150"/>
        <v>534.28444444444449</v>
      </c>
      <c r="AJ495" s="298"/>
      <c r="AK495" s="299"/>
      <c r="AL495" s="601">
        <f t="shared" si="151"/>
        <v>0</v>
      </c>
      <c r="AM495" s="604">
        <f t="shared" si="152"/>
        <v>0</v>
      </c>
      <c r="AN495" s="306"/>
      <c r="AO495" s="307"/>
      <c r="AP495" s="298"/>
      <c r="AQ495" s="307"/>
      <c r="AR495" s="298"/>
      <c r="AS495" s="307"/>
      <c r="AT495" s="298"/>
      <c r="AU495" s="307"/>
      <c r="AV495" s="601">
        <f t="shared" si="153"/>
        <v>0</v>
      </c>
      <c r="AW495" s="609">
        <f t="shared" si="154"/>
        <v>0</v>
      </c>
      <c r="AX495" s="603">
        <f t="shared" si="155"/>
        <v>0</v>
      </c>
      <c r="AY495" s="610">
        <f t="shared" si="156"/>
        <v>0</v>
      </c>
      <c r="AZ495" s="611">
        <f t="shared" si="157"/>
        <v>467.39444444444445</v>
      </c>
      <c r="BA495" s="603">
        <f t="shared" si="158"/>
        <v>534.28444444444449</v>
      </c>
    </row>
    <row r="496" spans="1:53">
      <c r="A496" s="475" t="s">
        <v>31</v>
      </c>
      <c r="B496" s="367" t="s">
        <v>680</v>
      </c>
      <c r="C496" s="476"/>
      <c r="D496" s="363">
        <v>220321</v>
      </c>
      <c r="E496" s="363">
        <v>13</v>
      </c>
      <c r="F496" s="296" t="s">
        <v>52</v>
      </c>
      <c r="G496" s="297" t="s">
        <v>52</v>
      </c>
      <c r="H496" s="298"/>
      <c r="I496" s="299"/>
      <c r="J496" s="298"/>
      <c r="K496" s="299"/>
      <c r="L496" s="298"/>
      <c r="M496" s="299"/>
      <c r="N496" s="298"/>
      <c r="O496" s="299"/>
      <c r="P496" s="601">
        <f t="shared" si="141"/>
        <v>0</v>
      </c>
      <c r="Q496" s="602">
        <f t="shared" si="142"/>
        <v>0</v>
      </c>
      <c r="R496" s="603">
        <f t="shared" si="143"/>
        <v>0</v>
      </c>
      <c r="S496" s="604">
        <f t="shared" si="144"/>
        <v>0</v>
      </c>
      <c r="T496" s="298"/>
      <c r="U496" s="299"/>
      <c r="V496" s="601">
        <f t="shared" si="145"/>
        <v>0</v>
      </c>
      <c r="W496" s="605">
        <f t="shared" si="146"/>
        <v>0</v>
      </c>
      <c r="X496" s="305"/>
      <c r="Y496" s="299"/>
      <c r="Z496" s="298">
        <v>170695</v>
      </c>
      <c r="AA496" s="299">
        <v>145278</v>
      </c>
      <c r="AB496" s="298">
        <v>157228</v>
      </c>
      <c r="AC496" s="299">
        <v>121653</v>
      </c>
      <c r="AD496" s="298">
        <v>150288</v>
      </c>
      <c r="AE496" s="299">
        <v>270990</v>
      </c>
      <c r="AF496" s="601">
        <f t="shared" si="147"/>
        <v>478211</v>
      </c>
      <c r="AG496" s="602">
        <f t="shared" si="148"/>
        <v>531.34555555555551</v>
      </c>
      <c r="AH496" s="603">
        <f t="shared" si="149"/>
        <v>537921</v>
      </c>
      <c r="AI496" s="603">
        <f t="shared" si="150"/>
        <v>597.69000000000005</v>
      </c>
      <c r="AJ496" s="298"/>
      <c r="AK496" s="299"/>
      <c r="AL496" s="601">
        <f t="shared" si="151"/>
        <v>0</v>
      </c>
      <c r="AM496" s="604">
        <f t="shared" si="152"/>
        <v>0</v>
      </c>
      <c r="AN496" s="306"/>
      <c r="AO496" s="307"/>
      <c r="AP496" s="298"/>
      <c r="AQ496" s="307"/>
      <c r="AR496" s="298"/>
      <c r="AS496" s="307"/>
      <c r="AT496" s="298"/>
      <c r="AU496" s="307"/>
      <c r="AV496" s="601">
        <f t="shared" si="153"/>
        <v>0</v>
      </c>
      <c r="AW496" s="609">
        <f t="shared" si="154"/>
        <v>0</v>
      </c>
      <c r="AX496" s="603">
        <f t="shared" si="155"/>
        <v>0</v>
      </c>
      <c r="AY496" s="610">
        <f t="shared" si="156"/>
        <v>0</v>
      </c>
      <c r="AZ496" s="611">
        <f t="shared" si="157"/>
        <v>531.34555555555551</v>
      </c>
      <c r="BA496" s="603">
        <f t="shared" si="158"/>
        <v>597.69000000000005</v>
      </c>
    </row>
    <row r="497" spans="1:53">
      <c r="A497" s="475" t="s">
        <v>31</v>
      </c>
      <c r="B497" s="367" t="s">
        <v>681</v>
      </c>
      <c r="C497" s="476"/>
      <c r="D497" s="363">
        <v>220394</v>
      </c>
      <c r="E497" s="363">
        <v>13</v>
      </c>
      <c r="F497" s="296" t="s">
        <v>52</v>
      </c>
      <c r="G497" s="297" t="s">
        <v>52</v>
      </c>
      <c r="H497" s="298"/>
      <c r="I497" s="299"/>
      <c r="J497" s="298"/>
      <c r="K497" s="299"/>
      <c r="L497" s="298"/>
      <c r="M497" s="299"/>
      <c r="N497" s="298"/>
      <c r="O497" s="299"/>
      <c r="P497" s="601">
        <f t="shared" si="141"/>
        <v>0</v>
      </c>
      <c r="Q497" s="602">
        <f t="shared" si="142"/>
        <v>0</v>
      </c>
      <c r="R497" s="603">
        <f t="shared" si="143"/>
        <v>0</v>
      </c>
      <c r="S497" s="604">
        <f t="shared" si="144"/>
        <v>0</v>
      </c>
      <c r="T497" s="298"/>
      <c r="U497" s="299"/>
      <c r="V497" s="601">
        <f t="shared" si="145"/>
        <v>0</v>
      </c>
      <c r="W497" s="605">
        <f t="shared" si="146"/>
        <v>0</v>
      </c>
      <c r="X497" s="305"/>
      <c r="Y497" s="299"/>
      <c r="Z497" s="298">
        <v>77282</v>
      </c>
      <c r="AA497" s="299">
        <v>61317</v>
      </c>
      <c r="AB497" s="298">
        <v>68114</v>
      </c>
      <c r="AC497" s="299">
        <v>55502</v>
      </c>
      <c r="AD497" s="298">
        <v>73227</v>
      </c>
      <c r="AE497" s="299">
        <v>118799</v>
      </c>
      <c r="AF497" s="601">
        <f t="shared" si="147"/>
        <v>218623</v>
      </c>
      <c r="AG497" s="602">
        <f t="shared" si="148"/>
        <v>242.91444444444446</v>
      </c>
      <c r="AH497" s="603">
        <f t="shared" si="149"/>
        <v>235618</v>
      </c>
      <c r="AI497" s="603">
        <f t="shared" si="150"/>
        <v>261.79777777777775</v>
      </c>
      <c r="AJ497" s="298"/>
      <c r="AK497" s="299"/>
      <c r="AL497" s="601">
        <f t="shared" si="151"/>
        <v>0</v>
      </c>
      <c r="AM497" s="604">
        <f t="shared" si="152"/>
        <v>0</v>
      </c>
      <c r="AN497" s="306"/>
      <c r="AO497" s="307"/>
      <c r="AP497" s="298"/>
      <c r="AQ497" s="307"/>
      <c r="AR497" s="298"/>
      <c r="AS497" s="307"/>
      <c r="AT497" s="298"/>
      <c r="AU497" s="307"/>
      <c r="AV497" s="601">
        <f t="shared" si="153"/>
        <v>0</v>
      </c>
      <c r="AW497" s="609">
        <f t="shared" si="154"/>
        <v>0</v>
      </c>
      <c r="AX497" s="603">
        <f t="shared" si="155"/>
        <v>0</v>
      </c>
      <c r="AY497" s="610">
        <f t="shared" si="156"/>
        <v>0</v>
      </c>
      <c r="AZ497" s="611">
        <f t="shared" si="157"/>
        <v>242.91444444444446</v>
      </c>
      <c r="BA497" s="603">
        <f t="shared" si="158"/>
        <v>261.79777777777775</v>
      </c>
    </row>
    <row r="498" spans="1:53">
      <c r="A498" s="475" t="s">
        <v>31</v>
      </c>
      <c r="B498" s="367" t="s">
        <v>682</v>
      </c>
      <c r="C498" s="476"/>
      <c r="D498" s="363">
        <v>221616</v>
      </c>
      <c r="E498" s="363">
        <v>13</v>
      </c>
      <c r="F498" s="296" t="s">
        <v>52</v>
      </c>
      <c r="G498" s="297" t="s">
        <v>52</v>
      </c>
      <c r="H498" s="298"/>
      <c r="I498" s="299"/>
      <c r="J498" s="298"/>
      <c r="K498" s="299"/>
      <c r="L498" s="298"/>
      <c r="M498" s="299"/>
      <c r="N498" s="298"/>
      <c r="O498" s="299"/>
      <c r="P498" s="601">
        <f t="shared" si="141"/>
        <v>0</v>
      </c>
      <c r="Q498" s="602">
        <f t="shared" si="142"/>
        <v>0</v>
      </c>
      <c r="R498" s="603">
        <f t="shared" si="143"/>
        <v>0</v>
      </c>
      <c r="S498" s="604">
        <f t="shared" si="144"/>
        <v>0</v>
      </c>
      <c r="T498" s="298"/>
      <c r="U498" s="299"/>
      <c r="V498" s="601">
        <f t="shared" si="145"/>
        <v>0</v>
      </c>
      <c r="W498" s="605">
        <f t="shared" si="146"/>
        <v>0</v>
      </c>
      <c r="X498" s="305"/>
      <c r="Y498" s="299"/>
      <c r="Z498" s="298">
        <v>216548</v>
      </c>
      <c r="AA498" s="299">
        <v>183294</v>
      </c>
      <c r="AB498" s="298">
        <v>204740</v>
      </c>
      <c r="AC498" s="299">
        <v>164025</v>
      </c>
      <c r="AD498" s="298">
        <v>213107</v>
      </c>
      <c r="AE498" s="299">
        <v>350685</v>
      </c>
      <c r="AF498" s="601">
        <f t="shared" si="147"/>
        <v>634395</v>
      </c>
      <c r="AG498" s="602">
        <f t="shared" si="148"/>
        <v>704.88333333333333</v>
      </c>
      <c r="AH498" s="603">
        <f t="shared" si="149"/>
        <v>698004</v>
      </c>
      <c r="AI498" s="603">
        <f t="shared" si="150"/>
        <v>775.56</v>
      </c>
      <c r="AJ498" s="298"/>
      <c r="AK498" s="299"/>
      <c r="AL498" s="601">
        <f t="shared" si="151"/>
        <v>0</v>
      </c>
      <c r="AM498" s="604">
        <f t="shared" si="152"/>
        <v>0</v>
      </c>
      <c r="AN498" s="306"/>
      <c r="AO498" s="307"/>
      <c r="AP498" s="298"/>
      <c r="AQ498" s="307"/>
      <c r="AR498" s="298"/>
      <c r="AS498" s="307"/>
      <c r="AT498" s="298"/>
      <c r="AU498" s="307"/>
      <c r="AV498" s="601">
        <f t="shared" si="153"/>
        <v>0</v>
      </c>
      <c r="AW498" s="609">
        <f t="shared" si="154"/>
        <v>0</v>
      </c>
      <c r="AX498" s="603">
        <f t="shared" si="155"/>
        <v>0</v>
      </c>
      <c r="AY498" s="610">
        <f t="shared" si="156"/>
        <v>0</v>
      </c>
      <c r="AZ498" s="611">
        <f t="shared" si="157"/>
        <v>704.88333333333333</v>
      </c>
      <c r="BA498" s="603">
        <f t="shared" si="158"/>
        <v>775.56</v>
      </c>
    </row>
    <row r="499" spans="1:53">
      <c r="A499" s="475" t="s">
        <v>31</v>
      </c>
      <c r="B499" s="367" t="s">
        <v>683</v>
      </c>
      <c r="C499" s="476"/>
      <c r="D499" s="363">
        <v>221625</v>
      </c>
      <c r="E499" s="363">
        <v>13</v>
      </c>
      <c r="F499" s="296" t="s">
        <v>52</v>
      </c>
      <c r="G499" s="297" t="s">
        <v>52</v>
      </c>
      <c r="H499" s="298"/>
      <c r="I499" s="299"/>
      <c r="J499" s="298"/>
      <c r="K499" s="299"/>
      <c r="L499" s="298"/>
      <c r="M499" s="299"/>
      <c r="N499" s="298"/>
      <c r="O499" s="299"/>
      <c r="P499" s="601">
        <f t="shared" si="141"/>
        <v>0</v>
      </c>
      <c r="Q499" s="602">
        <f t="shared" si="142"/>
        <v>0</v>
      </c>
      <c r="R499" s="603">
        <f t="shared" si="143"/>
        <v>0</v>
      </c>
      <c r="S499" s="604">
        <f t="shared" si="144"/>
        <v>0</v>
      </c>
      <c r="T499" s="298"/>
      <c r="U499" s="299"/>
      <c r="V499" s="601">
        <f t="shared" si="145"/>
        <v>0</v>
      </c>
      <c r="W499" s="605">
        <f t="shared" si="146"/>
        <v>0</v>
      </c>
      <c r="X499" s="305"/>
      <c r="Y499" s="299"/>
      <c r="Z499" s="298">
        <v>236962</v>
      </c>
      <c r="AA499" s="299">
        <v>196747</v>
      </c>
      <c r="AB499" s="298">
        <v>221266</v>
      </c>
      <c r="AC499" s="299">
        <v>188863</v>
      </c>
      <c r="AD499" s="298">
        <v>206058</v>
      </c>
      <c r="AE499" s="299">
        <v>390305</v>
      </c>
      <c r="AF499" s="601">
        <f t="shared" si="147"/>
        <v>664286</v>
      </c>
      <c r="AG499" s="602">
        <f t="shared" si="148"/>
        <v>738.09555555555551</v>
      </c>
      <c r="AH499" s="603">
        <f t="shared" si="149"/>
        <v>775915</v>
      </c>
      <c r="AI499" s="603">
        <f t="shared" si="150"/>
        <v>862.12777777777774</v>
      </c>
      <c r="AJ499" s="298"/>
      <c r="AK499" s="299"/>
      <c r="AL499" s="601">
        <f t="shared" si="151"/>
        <v>0</v>
      </c>
      <c r="AM499" s="604">
        <f t="shared" si="152"/>
        <v>0</v>
      </c>
      <c r="AN499" s="306"/>
      <c r="AO499" s="307"/>
      <c r="AP499" s="298"/>
      <c r="AQ499" s="307"/>
      <c r="AR499" s="298"/>
      <c r="AS499" s="307"/>
      <c r="AT499" s="298"/>
      <c r="AU499" s="307"/>
      <c r="AV499" s="601">
        <f t="shared" si="153"/>
        <v>0</v>
      </c>
      <c r="AW499" s="609">
        <f t="shared" si="154"/>
        <v>0</v>
      </c>
      <c r="AX499" s="603">
        <f t="shared" si="155"/>
        <v>0</v>
      </c>
      <c r="AY499" s="610">
        <f t="shared" si="156"/>
        <v>0</v>
      </c>
      <c r="AZ499" s="611">
        <f t="shared" si="157"/>
        <v>738.09555555555551</v>
      </c>
      <c r="BA499" s="603">
        <f t="shared" si="158"/>
        <v>862.12777777777774</v>
      </c>
    </row>
    <row r="500" spans="1:53">
      <c r="A500" s="475" t="s">
        <v>31</v>
      </c>
      <c r="B500" s="367" t="s">
        <v>684</v>
      </c>
      <c r="C500" s="476"/>
      <c r="D500" s="363">
        <v>220640</v>
      </c>
      <c r="E500" s="363">
        <v>13</v>
      </c>
      <c r="F500" s="296" t="s">
        <v>52</v>
      </c>
      <c r="G500" s="297" t="s">
        <v>52</v>
      </c>
      <c r="H500" s="298"/>
      <c r="I500" s="299"/>
      <c r="J500" s="298"/>
      <c r="K500" s="299"/>
      <c r="L500" s="298"/>
      <c r="M500" s="299"/>
      <c r="N500" s="298"/>
      <c r="O500" s="299"/>
      <c r="P500" s="601">
        <f t="shared" si="141"/>
        <v>0</v>
      </c>
      <c r="Q500" s="602">
        <f t="shared" si="142"/>
        <v>0</v>
      </c>
      <c r="R500" s="603">
        <f t="shared" si="143"/>
        <v>0</v>
      </c>
      <c r="S500" s="604">
        <f t="shared" si="144"/>
        <v>0</v>
      </c>
      <c r="T500" s="298"/>
      <c r="U500" s="299"/>
      <c r="V500" s="601">
        <f t="shared" si="145"/>
        <v>0</v>
      </c>
      <c r="W500" s="605">
        <f t="shared" si="146"/>
        <v>0</v>
      </c>
      <c r="X500" s="305"/>
      <c r="Y500" s="299"/>
      <c r="Z500" s="298">
        <v>153101</v>
      </c>
      <c r="AA500" s="299">
        <v>135869</v>
      </c>
      <c r="AB500" s="298">
        <v>121487</v>
      </c>
      <c r="AC500" s="299">
        <v>99908</v>
      </c>
      <c r="AD500" s="298">
        <v>150660</v>
      </c>
      <c r="AE500" s="299">
        <v>237460</v>
      </c>
      <c r="AF500" s="601">
        <f t="shared" si="147"/>
        <v>425248</v>
      </c>
      <c r="AG500" s="602">
        <f t="shared" si="148"/>
        <v>472.4977777777778</v>
      </c>
      <c r="AH500" s="603">
        <f t="shared" si="149"/>
        <v>473237</v>
      </c>
      <c r="AI500" s="603">
        <f t="shared" si="150"/>
        <v>525.81888888888886</v>
      </c>
      <c r="AJ500" s="298"/>
      <c r="AK500" s="299"/>
      <c r="AL500" s="601">
        <f t="shared" si="151"/>
        <v>0</v>
      </c>
      <c r="AM500" s="604">
        <f t="shared" si="152"/>
        <v>0</v>
      </c>
      <c r="AN500" s="306"/>
      <c r="AO500" s="307"/>
      <c r="AP500" s="298"/>
      <c r="AQ500" s="307"/>
      <c r="AR500" s="298"/>
      <c r="AS500" s="307"/>
      <c r="AT500" s="298"/>
      <c r="AU500" s="307"/>
      <c r="AV500" s="601">
        <f t="shared" si="153"/>
        <v>0</v>
      </c>
      <c r="AW500" s="609">
        <f t="shared" si="154"/>
        <v>0</v>
      </c>
      <c r="AX500" s="603">
        <f t="shared" si="155"/>
        <v>0</v>
      </c>
      <c r="AY500" s="610">
        <f t="shared" si="156"/>
        <v>0</v>
      </c>
      <c r="AZ500" s="611">
        <f t="shared" si="157"/>
        <v>472.4977777777778</v>
      </c>
      <c r="BA500" s="603">
        <f t="shared" si="158"/>
        <v>525.81888888888886</v>
      </c>
    </row>
    <row r="501" spans="1:53">
      <c r="A501" s="475" t="s">
        <v>31</v>
      </c>
      <c r="B501" s="367" t="s">
        <v>685</v>
      </c>
      <c r="C501" s="476"/>
      <c r="D501" s="363">
        <v>220756</v>
      </c>
      <c r="E501" s="363">
        <v>13</v>
      </c>
      <c r="F501" s="296" t="s">
        <v>52</v>
      </c>
      <c r="G501" s="297" t="s">
        <v>52</v>
      </c>
      <c r="H501" s="298"/>
      <c r="I501" s="299"/>
      <c r="J501" s="298"/>
      <c r="K501" s="299"/>
      <c r="L501" s="298"/>
      <c r="M501" s="299"/>
      <c r="N501" s="298"/>
      <c r="O501" s="299"/>
      <c r="P501" s="601">
        <f t="shared" si="141"/>
        <v>0</v>
      </c>
      <c r="Q501" s="602">
        <f t="shared" si="142"/>
        <v>0</v>
      </c>
      <c r="R501" s="603">
        <f t="shared" si="143"/>
        <v>0</v>
      </c>
      <c r="S501" s="604">
        <f t="shared" si="144"/>
        <v>0</v>
      </c>
      <c r="T501" s="298"/>
      <c r="U501" s="299"/>
      <c r="V501" s="601">
        <f t="shared" si="145"/>
        <v>0</v>
      </c>
      <c r="W501" s="605">
        <f t="shared" si="146"/>
        <v>0</v>
      </c>
      <c r="X501" s="305"/>
      <c r="Y501" s="299"/>
      <c r="Z501" s="298">
        <v>104995</v>
      </c>
      <c r="AA501" s="299">
        <v>73229</v>
      </c>
      <c r="AB501" s="298">
        <v>92644</v>
      </c>
      <c r="AC501" s="299">
        <v>61828</v>
      </c>
      <c r="AD501" s="298">
        <v>92111</v>
      </c>
      <c r="AE501" s="299">
        <v>138225</v>
      </c>
      <c r="AF501" s="601">
        <f t="shared" si="147"/>
        <v>289750</v>
      </c>
      <c r="AG501" s="602">
        <f t="shared" si="148"/>
        <v>321.94444444444446</v>
      </c>
      <c r="AH501" s="603">
        <f t="shared" si="149"/>
        <v>273282</v>
      </c>
      <c r="AI501" s="603">
        <f t="shared" si="150"/>
        <v>303.64666666666665</v>
      </c>
      <c r="AJ501" s="298"/>
      <c r="AK501" s="299"/>
      <c r="AL501" s="601">
        <f t="shared" si="151"/>
        <v>0</v>
      </c>
      <c r="AM501" s="604">
        <f t="shared" si="152"/>
        <v>0</v>
      </c>
      <c r="AN501" s="306"/>
      <c r="AO501" s="307"/>
      <c r="AP501" s="298"/>
      <c r="AQ501" s="307"/>
      <c r="AR501" s="298"/>
      <c r="AS501" s="307"/>
      <c r="AT501" s="298"/>
      <c r="AU501" s="307"/>
      <c r="AV501" s="601">
        <f t="shared" si="153"/>
        <v>0</v>
      </c>
      <c r="AW501" s="609">
        <f t="shared" si="154"/>
        <v>0</v>
      </c>
      <c r="AX501" s="603">
        <f t="shared" si="155"/>
        <v>0</v>
      </c>
      <c r="AY501" s="610">
        <f t="shared" si="156"/>
        <v>0</v>
      </c>
      <c r="AZ501" s="611">
        <f t="shared" si="157"/>
        <v>321.94444444444446</v>
      </c>
      <c r="BA501" s="603">
        <f t="shared" si="158"/>
        <v>303.64666666666665</v>
      </c>
    </row>
    <row r="502" spans="1:53">
      <c r="A502" s="475" t="s">
        <v>31</v>
      </c>
      <c r="B502" s="367" t="s">
        <v>686</v>
      </c>
      <c r="C502" s="476"/>
      <c r="D502" s="363">
        <v>221607</v>
      </c>
      <c r="E502" s="363">
        <v>13</v>
      </c>
      <c r="F502" s="296" t="s">
        <v>52</v>
      </c>
      <c r="G502" s="297" t="s">
        <v>52</v>
      </c>
      <c r="H502" s="298"/>
      <c r="I502" s="299"/>
      <c r="J502" s="298"/>
      <c r="K502" s="299"/>
      <c r="L502" s="298"/>
      <c r="M502" s="299"/>
      <c r="N502" s="298"/>
      <c r="O502" s="299"/>
      <c r="P502" s="601">
        <f t="shared" si="141"/>
        <v>0</v>
      </c>
      <c r="Q502" s="602">
        <f t="shared" si="142"/>
        <v>0</v>
      </c>
      <c r="R502" s="603">
        <f t="shared" si="143"/>
        <v>0</v>
      </c>
      <c r="S502" s="604">
        <f t="shared" si="144"/>
        <v>0</v>
      </c>
      <c r="T502" s="298"/>
      <c r="U502" s="299"/>
      <c r="V502" s="601">
        <f t="shared" si="145"/>
        <v>0</v>
      </c>
      <c r="W502" s="605">
        <f t="shared" si="146"/>
        <v>0</v>
      </c>
      <c r="X502" s="305"/>
      <c r="Y502" s="299"/>
      <c r="Z502" s="298">
        <v>112897</v>
      </c>
      <c r="AA502" s="299">
        <v>85258</v>
      </c>
      <c r="AB502" s="298">
        <v>99591</v>
      </c>
      <c r="AC502" s="299">
        <v>82238</v>
      </c>
      <c r="AD502" s="298">
        <v>89870</v>
      </c>
      <c r="AE502" s="299">
        <v>168090</v>
      </c>
      <c r="AF502" s="601">
        <f t="shared" si="147"/>
        <v>302358</v>
      </c>
      <c r="AG502" s="602">
        <f t="shared" si="148"/>
        <v>335.95333333333332</v>
      </c>
      <c r="AH502" s="603">
        <f t="shared" si="149"/>
        <v>335586</v>
      </c>
      <c r="AI502" s="603">
        <f t="shared" si="150"/>
        <v>372.87333333333333</v>
      </c>
      <c r="AJ502" s="298"/>
      <c r="AK502" s="299"/>
      <c r="AL502" s="601">
        <f t="shared" si="151"/>
        <v>0</v>
      </c>
      <c r="AM502" s="604">
        <f t="shared" si="152"/>
        <v>0</v>
      </c>
      <c r="AN502" s="306"/>
      <c r="AO502" s="307"/>
      <c r="AP502" s="298"/>
      <c r="AQ502" s="307"/>
      <c r="AR502" s="298"/>
      <c r="AS502" s="307"/>
      <c r="AT502" s="298"/>
      <c r="AU502" s="307"/>
      <c r="AV502" s="601">
        <f t="shared" si="153"/>
        <v>0</v>
      </c>
      <c r="AW502" s="609">
        <f t="shared" si="154"/>
        <v>0</v>
      </c>
      <c r="AX502" s="603">
        <f t="shared" si="155"/>
        <v>0</v>
      </c>
      <c r="AY502" s="610">
        <f t="shared" si="156"/>
        <v>0</v>
      </c>
      <c r="AZ502" s="611">
        <f t="shared" si="157"/>
        <v>335.95333333333332</v>
      </c>
      <c r="BA502" s="603">
        <f t="shared" si="158"/>
        <v>372.87333333333333</v>
      </c>
    </row>
    <row r="503" spans="1:53">
      <c r="A503" s="475" t="s">
        <v>31</v>
      </c>
      <c r="B503" s="367" t="s">
        <v>687</v>
      </c>
      <c r="C503" s="479" t="s">
        <v>796</v>
      </c>
      <c r="D503" s="363">
        <v>220853</v>
      </c>
      <c r="E503" s="363">
        <v>13</v>
      </c>
      <c r="F503" s="296" t="s">
        <v>52</v>
      </c>
      <c r="G503" s="297" t="s">
        <v>52</v>
      </c>
      <c r="H503" s="298"/>
      <c r="I503" s="299"/>
      <c r="J503" s="298"/>
      <c r="K503" s="299"/>
      <c r="L503" s="298"/>
      <c r="M503" s="299"/>
      <c r="N503" s="298"/>
      <c r="O503" s="299"/>
      <c r="P503" s="601">
        <f t="shared" si="141"/>
        <v>0</v>
      </c>
      <c r="Q503" s="602">
        <f t="shared" si="142"/>
        <v>0</v>
      </c>
      <c r="R503" s="603">
        <f t="shared" si="143"/>
        <v>0</v>
      </c>
      <c r="S503" s="604">
        <f t="shared" si="144"/>
        <v>0</v>
      </c>
      <c r="T503" s="298"/>
      <c r="U503" s="299"/>
      <c r="V503" s="601">
        <f t="shared" si="145"/>
        <v>0</v>
      </c>
      <c r="W503" s="605">
        <f t="shared" si="146"/>
        <v>0</v>
      </c>
      <c r="X503" s="305"/>
      <c r="Y503" s="299"/>
      <c r="Z503" s="298">
        <v>233450</v>
      </c>
      <c r="AA503" s="299">
        <v>266610</v>
      </c>
      <c r="AB503" s="298">
        <v>223816</v>
      </c>
      <c r="AC503" s="299">
        <v>251758</v>
      </c>
      <c r="AD503" s="298">
        <v>257396</v>
      </c>
      <c r="AE503" s="299">
        <v>520348</v>
      </c>
      <c r="AF503" s="601">
        <f t="shared" si="147"/>
        <v>714662</v>
      </c>
      <c r="AG503" s="602">
        <f t="shared" si="148"/>
        <v>794.06888888888886</v>
      </c>
      <c r="AH503" s="603">
        <f t="shared" si="149"/>
        <v>1038716</v>
      </c>
      <c r="AI503" s="603">
        <f t="shared" si="150"/>
        <v>1154.1288888888889</v>
      </c>
      <c r="AJ503" s="298"/>
      <c r="AK503" s="299"/>
      <c r="AL503" s="601">
        <f t="shared" si="151"/>
        <v>0</v>
      </c>
      <c r="AM503" s="604">
        <f t="shared" si="152"/>
        <v>0</v>
      </c>
      <c r="AN503" s="306"/>
      <c r="AO503" s="307"/>
      <c r="AP503" s="298"/>
      <c r="AQ503" s="307"/>
      <c r="AR503" s="298"/>
      <c r="AS503" s="307"/>
      <c r="AT503" s="298"/>
      <c r="AU503" s="307"/>
      <c r="AV503" s="601">
        <f t="shared" si="153"/>
        <v>0</v>
      </c>
      <c r="AW503" s="609">
        <f t="shared" si="154"/>
        <v>0</v>
      </c>
      <c r="AX503" s="603">
        <f t="shared" si="155"/>
        <v>0</v>
      </c>
      <c r="AY503" s="610">
        <f t="shared" si="156"/>
        <v>0</v>
      </c>
      <c r="AZ503" s="611">
        <f t="shared" si="157"/>
        <v>794.06888888888886</v>
      </c>
      <c r="BA503" s="603">
        <f t="shared" si="158"/>
        <v>1154.1288888888889</v>
      </c>
    </row>
    <row r="504" spans="1:53">
      <c r="A504" s="475" t="s">
        <v>31</v>
      </c>
      <c r="B504" s="367" t="s">
        <v>688</v>
      </c>
      <c r="C504" s="476"/>
      <c r="D504" s="363">
        <v>221050</v>
      </c>
      <c r="E504" s="363">
        <v>13</v>
      </c>
      <c r="F504" s="296" t="s">
        <v>52</v>
      </c>
      <c r="G504" s="297" t="s">
        <v>52</v>
      </c>
      <c r="H504" s="298"/>
      <c r="I504" s="299"/>
      <c r="J504" s="298"/>
      <c r="K504" s="299"/>
      <c r="L504" s="298"/>
      <c r="M504" s="299"/>
      <c r="N504" s="298"/>
      <c r="O504" s="299"/>
      <c r="P504" s="601">
        <f t="shared" si="141"/>
        <v>0</v>
      </c>
      <c r="Q504" s="602">
        <f t="shared" si="142"/>
        <v>0</v>
      </c>
      <c r="R504" s="603">
        <f t="shared" si="143"/>
        <v>0</v>
      </c>
      <c r="S504" s="604">
        <f t="shared" si="144"/>
        <v>0</v>
      </c>
      <c r="T504" s="298"/>
      <c r="U504" s="299"/>
      <c r="V504" s="601">
        <f t="shared" si="145"/>
        <v>0</v>
      </c>
      <c r="W504" s="605">
        <f t="shared" si="146"/>
        <v>0</v>
      </c>
      <c r="X504" s="305"/>
      <c r="Y504" s="299"/>
      <c r="Z504" s="298">
        <v>225052</v>
      </c>
      <c r="AA504" s="299">
        <v>185104</v>
      </c>
      <c r="AB504" s="298">
        <v>197385</v>
      </c>
      <c r="AC504" s="299">
        <v>159218</v>
      </c>
      <c r="AD504" s="298">
        <v>204137</v>
      </c>
      <c r="AE504" s="299">
        <v>346674</v>
      </c>
      <c r="AF504" s="601">
        <f t="shared" si="147"/>
        <v>626574</v>
      </c>
      <c r="AG504" s="602">
        <f t="shared" si="148"/>
        <v>696.19333333333338</v>
      </c>
      <c r="AH504" s="603">
        <f t="shared" si="149"/>
        <v>690996</v>
      </c>
      <c r="AI504" s="603">
        <f t="shared" si="150"/>
        <v>767.77333333333331</v>
      </c>
      <c r="AJ504" s="298"/>
      <c r="AK504" s="299"/>
      <c r="AL504" s="601">
        <f t="shared" si="151"/>
        <v>0</v>
      </c>
      <c r="AM504" s="604">
        <f t="shared" si="152"/>
        <v>0</v>
      </c>
      <c r="AN504" s="306"/>
      <c r="AO504" s="307"/>
      <c r="AP504" s="298"/>
      <c r="AQ504" s="307"/>
      <c r="AR504" s="298"/>
      <c r="AS504" s="307"/>
      <c r="AT504" s="298"/>
      <c r="AU504" s="307"/>
      <c r="AV504" s="601">
        <f t="shared" si="153"/>
        <v>0</v>
      </c>
      <c r="AW504" s="609">
        <f t="shared" si="154"/>
        <v>0</v>
      </c>
      <c r="AX504" s="603">
        <f t="shared" si="155"/>
        <v>0</v>
      </c>
      <c r="AY504" s="610">
        <f t="shared" si="156"/>
        <v>0</v>
      </c>
      <c r="AZ504" s="611">
        <f t="shared" si="157"/>
        <v>696.19333333333338</v>
      </c>
      <c r="BA504" s="603">
        <f t="shared" si="158"/>
        <v>767.77333333333331</v>
      </c>
    </row>
    <row r="505" spans="1:53">
      <c r="A505" s="475" t="s">
        <v>31</v>
      </c>
      <c r="B505" s="367" t="s">
        <v>689</v>
      </c>
      <c r="C505" s="476"/>
      <c r="D505" s="363">
        <v>221102</v>
      </c>
      <c r="E505" s="363">
        <v>13</v>
      </c>
      <c r="F505" s="296" t="s">
        <v>52</v>
      </c>
      <c r="G505" s="297" t="s">
        <v>52</v>
      </c>
      <c r="H505" s="298"/>
      <c r="I505" s="299"/>
      <c r="J505" s="298"/>
      <c r="K505" s="299"/>
      <c r="L505" s="298"/>
      <c r="M505" s="299"/>
      <c r="N505" s="298"/>
      <c r="O505" s="299"/>
      <c r="P505" s="601">
        <f t="shared" si="141"/>
        <v>0</v>
      </c>
      <c r="Q505" s="602">
        <f t="shared" si="142"/>
        <v>0</v>
      </c>
      <c r="R505" s="603">
        <f t="shared" si="143"/>
        <v>0</v>
      </c>
      <c r="S505" s="604">
        <f t="shared" si="144"/>
        <v>0</v>
      </c>
      <c r="T505" s="298"/>
      <c r="U505" s="299"/>
      <c r="V505" s="601">
        <f t="shared" si="145"/>
        <v>0</v>
      </c>
      <c r="W505" s="605">
        <f t="shared" si="146"/>
        <v>0</v>
      </c>
      <c r="X505" s="305"/>
      <c r="Y505" s="299"/>
      <c r="Z505" s="298">
        <v>155077</v>
      </c>
      <c r="AA505" s="299">
        <v>174185</v>
      </c>
      <c r="AB505" s="298">
        <v>148320</v>
      </c>
      <c r="AC505" s="299">
        <v>134883</v>
      </c>
      <c r="AD505" s="298">
        <v>153099</v>
      </c>
      <c r="AE505" s="299">
        <v>311529</v>
      </c>
      <c r="AF505" s="601">
        <f t="shared" si="147"/>
        <v>456496</v>
      </c>
      <c r="AG505" s="602">
        <f t="shared" si="148"/>
        <v>507.21777777777777</v>
      </c>
      <c r="AH505" s="603">
        <f t="shared" si="149"/>
        <v>620597</v>
      </c>
      <c r="AI505" s="603">
        <f t="shared" si="150"/>
        <v>689.55222222222221</v>
      </c>
      <c r="AJ505" s="298"/>
      <c r="AK505" s="299"/>
      <c r="AL505" s="601">
        <f t="shared" si="151"/>
        <v>0</v>
      </c>
      <c r="AM505" s="604">
        <f t="shared" si="152"/>
        <v>0</v>
      </c>
      <c r="AN505" s="306"/>
      <c r="AO505" s="307"/>
      <c r="AP505" s="298"/>
      <c r="AQ505" s="307"/>
      <c r="AR505" s="298"/>
      <c r="AS505" s="307"/>
      <c r="AT505" s="298"/>
      <c r="AU505" s="307"/>
      <c r="AV505" s="601">
        <f t="shared" si="153"/>
        <v>0</v>
      </c>
      <c r="AW505" s="609">
        <f t="shared" si="154"/>
        <v>0</v>
      </c>
      <c r="AX505" s="603">
        <f t="shared" si="155"/>
        <v>0</v>
      </c>
      <c r="AY505" s="610">
        <f t="shared" si="156"/>
        <v>0</v>
      </c>
      <c r="AZ505" s="611">
        <f t="shared" si="157"/>
        <v>507.21777777777777</v>
      </c>
      <c r="BA505" s="603">
        <f t="shared" si="158"/>
        <v>689.55222222222221</v>
      </c>
    </row>
    <row r="506" spans="1:53">
      <c r="A506" s="475" t="s">
        <v>31</v>
      </c>
      <c r="B506" s="367" t="s">
        <v>690</v>
      </c>
      <c r="C506" s="479" t="s">
        <v>796</v>
      </c>
      <c r="D506" s="363">
        <v>248925</v>
      </c>
      <c r="E506" s="363">
        <v>13</v>
      </c>
      <c r="F506" s="296" t="s">
        <v>52</v>
      </c>
      <c r="G506" s="297" t="s">
        <v>52</v>
      </c>
      <c r="H506" s="298"/>
      <c r="I506" s="299"/>
      <c r="J506" s="298"/>
      <c r="K506" s="299"/>
      <c r="L506" s="298"/>
      <c r="M506" s="299"/>
      <c r="N506" s="298"/>
      <c r="O506" s="299"/>
      <c r="P506" s="601">
        <f t="shared" si="141"/>
        <v>0</v>
      </c>
      <c r="Q506" s="602">
        <f t="shared" si="142"/>
        <v>0</v>
      </c>
      <c r="R506" s="603">
        <f t="shared" si="143"/>
        <v>0</v>
      </c>
      <c r="S506" s="604">
        <f t="shared" si="144"/>
        <v>0</v>
      </c>
      <c r="T506" s="298"/>
      <c r="U506" s="299"/>
      <c r="V506" s="601">
        <f t="shared" si="145"/>
        <v>0</v>
      </c>
      <c r="W506" s="605">
        <f t="shared" si="146"/>
        <v>0</v>
      </c>
      <c r="X506" s="305"/>
      <c r="Y506" s="299"/>
      <c r="Z506" s="298">
        <v>267377</v>
      </c>
      <c r="AA506" s="299">
        <v>257568</v>
      </c>
      <c r="AB506" s="298">
        <v>247021</v>
      </c>
      <c r="AC506" s="299">
        <v>229722</v>
      </c>
      <c r="AD506" s="298">
        <v>269708</v>
      </c>
      <c r="AE506" s="299">
        <v>491349</v>
      </c>
      <c r="AF506" s="601">
        <f t="shared" si="147"/>
        <v>784106</v>
      </c>
      <c r="AG506" s="602">
        <f t="shared" si="148"/>
        <v>871.22888888888883</v>
      </c>
      <c r="AH506" s="603">
        <f t="shared" si="149"/>
        <v>978639</v>
      </c>
      <c r="AI506" s="603">
        <f t="shared" si="150"/>
        <v>1087.3766666666668</v>
      </c>
      <c r="AJ506" s="298"/>
      <c r="AK506" s="299"/>
      <c r="AL506" s="601">
        <f t="shared" si="151"/>
        <v>0</v>
      </c>
      <c r="AM506" s="604">
        <f t="shared" si="152"/>
        <v>0</v>
      </c>
      <c r="AN506" s="306"/>
      <c r="AO506" s="307"/>
      <c r="AP506" s="298"/>
      <c r="AQ506" s="307"/>
      <c r="AR506" s="298"/>
      <c r="AS506" s="307"/>
      <c r="AT506" s="298"/>
      <c r="AU506" s="307"/>
      <c r="AV506" s="601">
        <f t="shared" si="153"/>
        <v>0</v>
      </c>
      <c r="AW506" s="609">
        <f t="shared" si="154"/>
        <v>0</v>
      </c>
      <c r="AX506" s="603">
        <f t="shared" si="155"/>
        <v>0</v>
      </c>
      <c r="AY506" s="610">
        <f t="shared" si="156"/>
        <v>0</v>
      </c>
      <c r="AZ506" s="611">
        <f t="shared" si="157"/>
        <v>871.22888888888883</v>
      </c>
      <c r="BA506" s="603">
        <f t="shared" si="158"/>
        <v>1087.3766666666668</v>
      </c>
    </row>
    <row r="507" spans="1:53">
      <c r="A507" s="475" t="s">
        <v>31</v>
      </c>
      <c r="B507" s="367" t="s">
        <v>691</v>
      </c>
      <c r="C507" s="476"/>
      <c r="D507" s="363">
        <v>221236</v>
      </c>
      <c r="E507" s="363">
        <v>13</v>
      </c>
      <c r="F507" s="296" t="s">
        <v>52</v>
      </c>
      <c r="G507" s="297" t="s">
        <v>52</v>
      </c>
      <c r="H507" s="298"/>
      <c r="I507" s="299"/>
      <c r="J507" s="298"/>
      <c r="K507" s="299"/>
      <c r="L507" s="298"/>
      <c r="M507" s="299"/>
      <c r="N507" s="298"/>
      <c r="O507" s="299"/>
      <c r="P507" s="601">
        <f t="shared" si="141"/>
        <v>0</v>
      </c>
      <c r="Q507" s="602">
        <f t="shared" si="142"/>
        <v>0</v>
      </c>
      <c r="R507" s="603">
        <f t="shared" si="143"/>
        <v>0</v>
      </c>
      <c r="S507" s="604">
        <f t="shared" si="144"/>
        <v>0</v>
      </c>
      <c r="T507" s="298"/>
      <c r="U507" s="299"/>
      <c r="V507" s="601">
        <f t="shared" si="145"/>
        <v>0</v>
      </c>
      <c r="W507" s="605">
        <f t="shared" si="146"/>
        <v>0</v>
      </c>
      <c r="X507" s="305"/>
      <c r="Y507" s="299"/>
      <c r="Z507" s="298">
        <v>102778</v>
      </c>
      <c r="AA507" s="299">
        <v>77916</v>
      </c>
      <c r="AB507" s="298">
        <v>82200</v>
      </c>
      <c r="AC507" s="299">
        <v>64752</v>
      </c>
      <c r="AD507" s="298">
        <v>89794</v>
      </c>
      <c r="AE507" s="299">
        <v>143757</v>
      </c>
      <c r="AF507" s="601">
        <f t="shared" si="147"/>
        <v>274772</v>
      </c>
      <c r="AG507" s="602">
        <f t="shared" si="148"/>
        <v>305.30222222222221</v>
      </c>
      <c r="AH507" s="603">
        <f t="shared" si="149"/>
        <v>286425</v>
      </c>
      <c r="AI507" s="603">
        <f t="shared" si="150"/>
        <v>318.25</v>
      </c>
      <c r="AJ507" s="298"/>
      <c r="AK507" s="299"/>
      <c r="AL507" s="601">
        <f t="shared" si="151"/>
        <v>0</v>
      </c>
      <c r="AM507" s="604">
        <f t="shared" si="152"/>
        <v>0</v>
      </c>
      <c r="AN507" s="306"/>
      <c r="AO507" s="307"/>
      <c r="AP507" s="298"/>
      <c r="AQ507" s="307"/>
      <c r="AR507" s="298"/>
      <c r="AS507" s="307"/>
      <c r="AT507" s="298"/>
      <c r="AU507" s="307"/>
      <c r="AV507" s="601">
        <f t="shared" si="153"/>
        <v>0</v>
      </c>
      <c r="AW507" s="609">
        <f t="shared" si="154"/>
        <v>0</v>
      </c>
      <c r="AX507" s="603">
        <f t="shared" si="155"/>
        <v>0</v>
      </c>
      <c r="AY507" s="610">
        <f t="shared" si="156"/>
        <v>0</v>
      </c>
      <c r="AZ507" s="611">
        <f t="shared" si="157"/>
        <v>305.30222222222221</v>
      </c>
      <c r="BA507" s="603">
        <f t="shared" si="158"/>
        <v>318.25</v>
      </c>
    </row>
    <row r="508" spans="1:53">
      <c r="A508" s="475" t="s">
        <v>31</v>
      </c>
      <c r="B508" s="367" t="s">
        <v>692</v>
      </c>
      <c r="C508" s="476"/>
      <c r="D508" s="363">
        <v>221582</v>
      </c>
      <c r="E508" s="363">
        <v>13</v>
      </c>
      <c r="F508" s="296" t="s">
        <v>52</v>
      </c>
      <c r="G508" s="297" t="s">
        <v>52</v>
      </c>
      <c r="H508" s="298"/>
      <c r="I508" s="299"/>
      <c r="J508" s="298"/>
      <c r="K508" s="299"/>
      <c r="L508" s="298"/>
      <c r="M508" s="299"/>
      <c r="N508" s="298"/>
      <c r="O508" s="299"/>
      <c r="P508" s="601">
        <f t="shared" si="141"/>
        <v>0</v>
      </c>
      <c r="Q508" s="602">
        <f t="shared" si="142"/>
        <v>0</v>
      </c>
      <c r="R508" s="603">
        <f t="shared" si="143"/>
        <v>0</v>
      </c>
      <c r="S508" s="604">
        <f t="shared" si="144"/>
        <v>0</v>
      </c>
      <c r="T508" s="298"/>
      <c r="U508" s="299"/>
      <c r="V508" s="601">
        <f t="shared" si="145"/>
        <v>0</v>
      </c>
      <c r="W508" s="605">
        <f t="shared" si="146"/>
        <v>0</v>
      </c>
      <c r="X508" s="305"/>
      <c r="Y508" s="299"/>
      <c r="Z508" s="298">
        <v>121020</v>
      </c>
      <c r="AA508" s="299">
        <v>116904</v>
      </c>
      <c r="AB508" s="298">
        <v>89549</v>
      </c>
      <c r="AC508" s="299">
        <v>75489</v>
      </c>
      <c r="AD508" s="298">
        <v>122845</v>
      </c>
      <c r="AE508" s="299">
        <v>193680</v>
      </c>
      <c r="AF508" s="601">
        <f t="shared" si="147"/>
        <v>333414</v>
      </c>
      <c r="AG508" s="602">
        <f t="shared" si="148"/>
        <v>370.46</v>
      </c>
      <c r="AH508" s="603">
        <f t="shared" si="149"/>
        <v>386073</v>
      </c>
      <c r="AI508" s="603">
        <f t="shared" si="150"/>
        <v>428.97</v>
      </c>
      <c r="AJ508" s="298"/>
      <c r="AK508" s="299"/>
      <c r="AL508" s="601">
        <f t="shared" si="151"/>
        <v>0</v>
      </c>
      <c r="AM508" s="604">
        <f t="shared" si="152"/>
        <v>0</v>
      </c>
      <c r="AN508" s="306"/>
      <c r="AO508" s="307"/>
      <c r="AP508" s="298"/>
      <c r="AQ508" s="307"/>
      <c r="AR508" s="298"/>
      <c r="AS508" s="307"/>
      <c r="AT508" s="298"/>
      <c r="AU508" s="307"/>
      <c r="AV508" s="601">
        <f t="shared" si="153"/>
        <v>0</v>
      </c>
      <c r="AW508" s="609">
        <f t="shared" si="154"/>
        <v>0</v>
      </c>
      <c r="AX508" s="603">
        <f t="shared" si="155"/>
        <v>0</v>
      </c>
      <c r="AY508" s="610">
        <f t="shared" si="156"/>
        <v>0</v>
      </c>
      <c r="AZ508" s="611">
        <f t="shared" si="157"/>
        <v>370.46</v>
      </c>
      <c r="BA508" s="603">
        <f t="shared" si="158"/>
        <v>428.97</v>
      </c>
    </row>
    <row r="509" spans="1:53">
      <c r="A509" s="475" t="s">
        <v>31</v>
      </c>
      <c r="B509" s="367" t="s">
        <v>693</v>
      </c>
      <c r="C509" s="476"/>
      <c r="D509" s="363">
        <v>221281</v>
      </c>
      <c r="E509" s="363">
        <v>13</v>
      </c>
      <c r="F509" s="296" t="s">
        <v>52</v>
      </c>
      <c r="G509" s="297" t="s">
        <v>52</v>
      </c>
      <c r="H509" s="298"/>
      <c r="I509" s="299"/>
      <c r="J509" s="298"/>
      <c r="K509" s="299"/>
      <c r="L509" s="298"/>
      <c r="M509" s="299"/>
      <c r="N509" s="298"/>
      <c r="O509" s="299"/>
      <c r="P509" s="601">
        <f t="shared" si="141"/>
        <v>0</v>
      </c>
      <c r="Q509" s="602">
        <f t="shared" si="142"/>
        <v>0</v>
      </c>
      <c r="R509" s="603">
        <f t="shared" si="143"/>
        <v>0</v>
      </c>
      <c r="S509" s="604">
        <f t="shared" si="144"/>
        <v>0</v>
      </c>
      <c r="T509" s="298"/>
      <c r="U509" s="299"/>
      <c r="V509" s="601">
        <f t="shared" si="145"/>
        <v>0</v>
      </c>
      <c r="W509" s="605">
        <f t="shared" si="146"/>
        <v>0</v>
      </c>
      <c r="X509" s="305"/>
      <c r="Y509" s="299"/>
      <c r="Z509" s="298">
        <v>119556</v>
      </c>
      <c r="AA509" s="299">
        <v>103602</v>
      </c>
      <c r="AB509" s="298">
        <v>115400</v>
      </c>
      <c r="AC509" s="299">
        <v>91638</v>
      </c>
      <c r="AD509" s="298">
        <v>120685</v>
      </c>
      <c r="AE509" s="299">
        <v>198606</v>
      </c>
      <c r="AF509" s="601">
        <f t="shared" si="147"/>
        <v>355641</v>
      </c>
      <c r="AG509" s="602">
        <f t="shared" si="148"/>
        <v>395.15666666666669</v>
      </c>
      <c r="AH509" s="603">
        <f t="shared" si="149"/>
        <v>393846</v>
      </c>
      <c r="AI509" s="603">
        <f t="shared" si="150"/>
        <v>437.60666666666668</v>
      </c>
      <c r="AJ509" s="298"/>
      <c r="AK509" s="299"/>
      <c r="AL509" s="601">
        <f t="shared" si="151"/>
        <v>0</v>
      </c>
      <c r="AM509" s="604">
        <f t="shared" si="152"/>
        <v>0</v>
      </c>
      <c r="AN509" s="306"/>
      <c r="AO509" s="307"/>
      <c r="AP509" s="298"/>
      <c r="AQ509" s="307"/>
      <c r="AR509" s="298"/>
      <c r="AS509" s="307"/>
      <c r="AT509" s="298"/>
      <c r="AU509" s="307"/>
      <c r="AV509" s="601">
        <f t="shared" si="153"/>
        <v>0</v>
      </c>
      <c r="AW509" s="609">
        <f t="shared" si="154"/>
        <v>0</v>
      </c>
      <c r="AX509" s="603">
        <f t="shared" si="155"/>
        <v>0</v>
      </c>
      <c r="AY509" s="610">
        <f t="shared" si="156"/>
        <v>0</v>
      </c>
      <c r="AZ509" s="611">
        <f t="shared" si="157"/>
        <v>395.15666666666669</v>
      </c>
      <c r="BA509" s="603">
        <f t="shared" si="158"/>
        <v>437.60666666666668</v>
      </c>
    </row>
    <row r="510" spans="1:53">
      <c r="A510" s="475" t="s">
        <v>31</v>
      </c>
      <c r="B510" s="367" t="s">
        <v>694</v>
      </c>
      <c r="C510" s="476"/>
      <c r="D510" s="363">
        <v>221333</v>
      </c>
      <c r="E510" s="363">
        <v>13</v>
      </c>
      <c r="F510" s="296" t="s">
        <v>52</v>
      </c>
      <c r="G510" s="297" t="s">
        <v>52</v>
      </c>
      <c r="H510" s="298"/>
      <c r="I510" s="299"/>
      <c r="J510" s="298"/>
      <c r="K510" s="299"/>
      <c r="L510" s="298"/>
      <c r="M510" s="299"/>
      <c r="N510" s="298"/>
      <c r="O510" s="299"/>
      <c r="P510" s="601">
        <f t="shared" si="141"/>
        <v>0</v>
      </c>
      <c r="Q510" s="602">
        <f t="shared" si="142"/>
        <v>0</v>
      </c>
      <c r="R510" s="603">
        <f t="shared" si="143"/>
        <v>0</v>
      </c>
      <c r="S510" s="604">
        <f t="shared" si="144"/>
        <v>0</v>
      </c>
      <c r="T510" s="298"/>
      <c r="U510" s="299"/>
      <c r="V510" s="601">
        <f t="shared" si="145"/>
        <v>0</v>
      </c>
      <c r="W510" s="605">
        <f t="shared" si="146"/>
        <v>0</v>
      </c>
      <c r="X510" s="305"/>
      <c r="Y510" s="299"/>
      <c r="Z510" s="298">
        <v>232952</v>
      </c>
      <c r="AA510" s="299">
        <v>167365</v>
      </c>
      <c r="AB510" s="298">
        <v>157834</v>
      </c>
      <c r="AC510" s="299">
        <v>74065</v>
      </c>
      <c r="AD510" s="298">
        <v>203201</v>
      </c>
      <c r="AE510" s="299">
        <v>241826</v>
      </c>
      <c r="AF510" s="601">
        <f t="shared" si="147"/>
        <v>593987</v>
      </c>
      <c r="AG510" s="602">
        <f t="shared" si="148"/>
        <v>659.98555555555561</v>
      </c>
      <c r="AH510" s="603">
        <f t="shared" si="149"/>
        <v>483256</v>
      </c>
      <c r="AI510" s="603">
        <f t="shared" si="150"/>
        <v>536.95111111111112</v>
      </c>
      <c r="AJ510" s="298"/>
      <c r="AK510" s="299"/>
      <c r="AL510" s="601">
        <f t="shared" si="151"/>
        <v>0</v>
      </c>
      <c r="AM510" s="604">
        <f t="shared" si="152"/>
        <v>0</v>
      </c>
      <c r="AN510" s="306"/>
      <c r="AO510" s="307"/>
      <c r="AP510" s="298"/>
      <c r="AQ510" s="307"/>
      <c r="AR510" s="298"/>
      <c r="AS510" s="307"/>
      <c r="AT510" s="298"/>
      <c r="AU510" s="307"/>
      <c r="AV510" s="601">
        <f t="shared" si="153"/>
        <v>0</v>
      </c>
      <c r="AW510" s="609">
        <f t="shared" si="154"/>
        <v>0</v>
      </c>
      <c r="AX510" s="603">
        <f t="shared" si="155"/>
        <v>0</v>
      </c>
      <c r="AY510" s="610">
        <f t="shared" si="156"/>
        <v>0</v>
      </c>
      <c r="AZ510" s="611">
        <f t="shared" si="157"/>
        <v>659.98555555555561</v>
      </c>
      <c r="BA510" s="603">
        <f t="shared" si="158"/>
        <v>536.95111111111112</v>
      </c>
    </row>
    <row r="511" spans="1:53">
      <c r="A511" s="475" t="s">
        <v>31</v>
      </c>
      <c r="B511" s="367" t="s">
        <v>695</v>
      </c>
      <c r="C511" s="476"/>
      <c r="D511" s="363">
        <v>221388</v>
      </c>
      <c r="E511" s="363">
        <v>13</v>
      </c>
      <c r="F511" s="296" t="s">
        <v>52</v>
      </c>
      <c r="G511" s="297" t="s">
        <v>52</v>
      </c>
      <c r="H511" s="298"/>
      <c r="I511" s="299"/>
      <c r="J511" s="298"/>
      <c r="K511" s="299"/>
      <c r="L511" s="298"/>
      <c r="M511" s="299"/>
      <c r="N511" s="298"/>
      <c r="O511" s="299"/>
      <c r="P511" s="601">
        <f t="shared" si="141"/>
        <v>0</v>
      </c>
      <c r="Q511" s="602">
        <f t="shared" si="142"/>
        <v>0</v>
      </c>
      <c r="R511" s="603">
        <f t="shared" si="143"/>
        <v>0</v>
      </c>
      <c r="S511" s="604">
        <f t="shared" si="144"/>
        <v>0</v>
      </c>
      <c r="T511" s="298"/>
      <c r="U511" s="299"/>
      <c r="V511" s="601">
        <f t="shared" si="145"/>
        <v>0</v>
      </c>
      <c r="W511" s="605">
        <f t="shared" si="146"/>
        <v>0</v>
      </c>
      <c r="X511" s="305"/>
      <c r="Y511" s="299"/>
      <c r="Z511" s="298">
        <v>74414</v>
      </c>
      <c r="AA511" s="299">
        <v>58840</v>
      </c>
      <c r="AB511" s="298">
        <v>60615</v>
      </c>
      <c r="AC511" s="299">
        <v>50002</v>
      </c>
      <c r="AD511" s="298">
        <v>68498</v>
      </c>
      <c r="AE511" s="299">
        <v>109238</v>
      </c>
      <c r="AF511" s="601">
        <f t="shared" si="147"/>
        <v>203527</v>
      </c>
      <c r="AG511" s="602">
        <f t="shared" si="148"/>
        <v>226.14111111111112</v>
      </c>
      <c r="AH511" s="603">
        <f t="shared" si="149"/>
        <v>218080</v>
      </c>
      <c r="AI511" s="603">
        <f t="shared" si="150"/>
        <v>242.3111111111111</v>
      </c>
      <c r="AJ511" s="298"/>
      <c r="AK511" s="299"/>
      <c r="AL511" s="601">
        <f t="shared" si="151"/>
        <v>0</v>
      </c>
      <c r="AM511" s="604">
        <f t="shared" si="152"/>
        <v>0</v>
      </c>
      <c r="AN511" s="306"/>
      <c r="AO511" s="307"/>
      <c r="AP511" s="298"/>
      <c r="AQ511" s="307"/>
      <c r="AR511" s="298"/>
      <c r="AS511" s="307"/>
      <c r="AT511" s="298"/>
      <c r="AU511" s="307"/>
      <c r="AV511" s="601">
        <f t="shared" si="153"/>
        <v>0</v>
      </c>
      <c r="AW511" s="609">
        <f t="shared" si="154"/>
        <v>0</v>
      </c>
      <c r="AX511" s="603">
        <f t="shared" si="155"/>
        <v>0</v>
      </c>
      <c r="AY511" s="610">
        <f t="shared" si="156"/>
        <v>0</v>
      </c>
      <c r="AZ511" s="611">
        <f t="shared" si="157"/>
        <v>226.14111111111112</v>
      </c>
      <c r="BA511" s="603">
        <f t="shared" si="158"/>
        <v>242.3111111111111</v>
      </c>
    </row>
    <row r="512" spans="1:53">
      <c r="A512" s="475" t="s">
        <v>31</v>
      </c>
      <c r="B512" s="367" t="s">
        <v>696</v>
      </c>
      <c r="C512" s="476"/>
      <c r="D512" s="363">
        <v>221494</v>
      </c>
      <c r="E512" s="363">
        <v>13</v>
      </c>
      <c r="F512" s="296" t="s">
        <v>52</v>
      </c>
      <c r="G512" s="297" t="s">
        <v>52</v>
      </c>
      <c r="H512" s="298"/>
      <c r="I512" s="299"/>
      <c r="J512" s="298"/>
      <c r="K512" s="299"/>
      <c r="L512" s="298"/>
      <c r="M512" s="299"/>
      <c r="N512" s="298"/>
      <c r="O512" s="299"/>
      <c r="P512" s="601">
        <f t="shared" si="141"/>
        <v>0</v>
      </c>
      <c r="Q512" s="602">
        <f t="shared" si="142"/>
        <v>0</v>
      </c>
      <c r="R512" s="603">
        <f t="shared" si="143"/>
        <v>0</v>
      </c>
      <c r="S512" s="604">
        <f t="shared" si="144"/>
        <v>0</v>
      </c>
      <c r="T512" s="298"/>
      <c r="U512" s="299"/>
      <c r="V512" s="601">
        <f t="shared" si="145"/>
        <v>0</v>
      </c>
      <c r="W512" s="605">
        <f t="shared" si="146"/>
        <v>0</v>
      </c>
      <c r="X512" s="305"/>
      <c r="Y512" s="299"/>
      <c r="Z512" s="298">
        <v>199142</v>
      </c>
      <c r="AA512" s="299">
        <v>155729</v>
      </c>
      <c r="AB512" s="298">
        <v>185014</v>
      </c>
      <c r="AC512" s="299">
        <v>144143</v>
      </c>
      <c r="AD512" s="298">
        <v>162360</v>
      </c>
      <c r="AE512" s="299">
        <v>302135</v>
      </c>
      <c r="AF512" s="601">
        <f t="shared" si="147"/>
        <v>546516</v>
      </c>
      <c r="AG512" s="602">
        <f t="shared" si="148"/>
        <v>607.24</v>
      </c>
      <c r="AH512" s="603">
        <f t="shared" si="149"/>
        <v>602007</v>
      </c>
      <c r="AI512" s="603">
        <f t="shared" si="150"/>
        <v>668.89666666666665</v>
      </c>
      <c r="AJ512" s="298"/>
      <c r="AK512" s="299"/>
      <c r="AL512" s="601">
        <f t="shared" si="151"/>
        <v>0</v>
      </c>
      <c r="AM512" s="604">
        <f t="shared" si="152"/>
        <v>0</v>
      </c>
      <c r="AN512" s="306"/>
      <c r="AO512" s="307"/>
      <c r="AP512" s="298"/>
      <c r="AQ512" s="307"/>
      <c r="AR512" s="298"/>
      <c r="AS512" s="307"/>
      <c r="AT512" s="298"/>
      <c r="AU512" s="307"/>
      <c r="AV512" s="601">
        <f t="shared" si="153"/>
        <v>0</v>
      </c>
      <c r="AW512" s="609">
        <f t="shared" si="154"/>
        <v>0</v>
      </c>
      <c r="AX512" s="603">
        <f t="shared" si="155"/>
        <v>0</v>
      </c>
      <c r="AY512" s="610">
        <f t="shared" si="156"/>
        <v>0</v>
      </c>
      <c r="AZ512" s="611">
        <f t="shared" si="157"/>
        <v>607.24</v>
      </c>
      <c r="BA512" s="603">
        <f t="shared" si="158"/>
        <v>668.89666666666665</v>
      </c>
    </row>
    <row r="513" spans="1:53">
      <c r="A513" s="475" t="s">
        <v>31</v>
      </c>
      <c r="B513" s="367" t="s">
        <v>697</v>
      </c>
      <c r="C513" s="476"/>
      <c r="D513" s="363">
        <v>221634</v>
      </c>
      <c r="E513" s="363">
        <v>13</v>
      </c>
      <c r="F513" s="296" t="s">
        <v>52</v>
      </c>
      <c r="G513" s="297" t="s">
        <v>52</v>
      </c>
      <c r="H513" s="298"/>
      <c r="I513" s="299"/>
      <c r="J513" s="298"/>
      <c r="K513" s="299"/>
      <c r="L513" s="298"/>
      <c r="M513" s="299"/>
      <c r="N513" s="298"/>
      <c r="O513" s="299"/>
      <c r="P513" s="601">
        <f t="shared" si="141"/>
        <v>0</v>
      </c>
      <c r="Q513" s="602">
        <f t="shared" si="142"/>
        <v>0</v>
      </c>
      <c r="R513" s="603">
        <f t="shared" si="143"/>
        <v>0</v>
      </c>
      <c r="S513" s="604">
        <f t="shared" si="144"/>
        <v>0</v>
      </c>
      <c r="T513" s="298"/>
      <c r="U513" s="299"/>
      <c r="V513" s="601">
        <f t="shared" si="145"/>
        <v>0</v>
      </c>
      <c r="W513" s="605">
        <f t="shared" si="146"/>
        <v>0</v>
      </c>
      <c r="X513" s="305"/>
      <c r="Y513" s="299"/>
      <c r="Z513" s="298">
        <v>65932</v>
      </c>
      <c r="AA513" s="299">
        <v>62782</v>
      </c>
      <c r="AB513" s="298">
        <v>65208</v>
      </c>
      <c r="AC513" s="299">
        <v>54946</v>
      </c>
      <c r="AD513" s="298">
        <v>66464</v>
      </c>
      <c r="AE513" s="299">
        <v>118715</v>
      </c>
      <c r="AF513" s="601">
        <f t="shared" si="147"/>
        <v>197604</v>
      </c>
      <c r="AG513" s="602">
        <f t="shared" si="148"/>
        <v>219.56</v>
      </c>
      <c r="AH513" s="603">
        <f t="shared" si="149"/>
        <v>236443</v>
      </c>
      <c r="AI513" s="603">
        <f t="shared" si="150"/>
        <v>262.71444444444444</v>
      </c>
      <c r="AJ513" s="298"/>
      <c r="AK513" s="299"/>
      <c r="AL513" s="601">
        <f t="shared" si="151"/>
        <v>0</v>
      </c>
      <c r="AM513" s="604">
        <f t="shared" si="152"/>
        <v>0</v>
      </c>
      <c r="AN513" s="306"/>
      <c r="AO513" s="307"/>
      <c r="AP513" s="298"/>
      <c r="AQ513" s="307"/>
      <c r="AR513" s="298"/>
      <c r="AS513" s="307"/>
      <c r="AT513" s="298"/>
      <c r="AU513" s="307"/>
      <c r="AV513" s="601">
        <f t="shared" si="153"/>
        <v>0</v>
      </c>
      <c r="AW513" s="609">
        <f t="shared" si="154"/>
        <v>0</v>
      </c>
      <c r="AX513" s="603">
        <f t="shared" si="155"/>
        <v>0</v>
      </c>
      <c r="AY513" s="610">
        <f t="shared" si="156"/>
        <v>0</v>
      </c>
      <c r="AZ513" s="611">
        <f t="shared" si="157"/>
        <v>219.56</v>
      </c>
      <c r="BA513" s="603">
        <f t="shared" si="158"/>
        <v>262.71444444444444</v>
      </c>
    </row>
    <row r="514" spans="1:53">
      <c r="A514" s="429" t="s">
        <v>33</v>
      </c>
      <c r="B514" s="371" t="s">
        <v>535</v>
      </c>
      <c r="C514" s="443"/>
      <c r="D514" s="369">
        <v>228723</v>
      </c>
      <c r="E514" s="369">
        <v>1</v>
      </c>
      <c r="F514" s="296" t="s">
        <v>52</v>
      </c>
      <c r="G514" s="297" t="s">
        <v>52</v>
      </c>
      <c r="H514" s="298"/>
      <c r="I514" s="299"/>
      <c r="J514" s="298">
        <v>476016</v>
      </c>
      <c r="K514" s="299">
        <v>482895</v>
      </c>
      <c r="L514" s="298">
        <v>71205</v>
      </c>
      <c r="M514" s="299">
        <v>69004</v>
      </c>
      <c r="N514" s="298">
        <v>516377</v>
      </c>
      <c r="O514" s="299">
        <v>526750</v>
      </c>
      <c r="P514" s="601">
        <f t="shared" ref="P514:P577" si="159">SUM(H514,J514,L514,N514)</f>
        <v>1063598</v>
      </c>
      <c r="Q514" s="602">
        <f t="shared" ref="Q514:Q577" si="160">+P514/30</f>
        <v>35453.26666666667</v>
      </c>
      <c r="R514" s="603">
        <f t="shared" ref="R514:R577" si="161">SUM(I514,K514,M514,O514)</f>
        <v>1078649</v>
      </c>
      <c r="S514" s="604">
        <f t="shared" ref="S514:S577" si="162">+R514/30</f>
        <v>35954.966666666667</v>
      </c>
      <c r="T514" s="298">
        <v>0</v>
      </c>
      <c r="U514" s="299">
        <v>0</v>
      </c>
      <c r="V514" s="601">
        <f t="shared" ref="V514:V577" si="163">IF(ISBLANK(T514),0,P514)</f>
        <v>1063598</v>
      </c>
      <c r="W514" s="605">
        <f t="shared" ref="W514:W577" si="164">IF(ISBLANK(U514),0,R514)</f>
        <v>1078649</v>
      </c>
      <c r="X514" s="305"/>
      <c r="Y514" s="299"/>
      <c r="Z514" s="298"/>
      <c r="AA514" s="299"/>
      <c r="AB514" s="298"/>
      <c r="AC514" s="299"/>
      <c r="AD514" s="298"/>
      <c r="AE514" s="299"/>
      <c r="AF514" s="601">
        <f t="shared" ref="AF514:AF577" si="165">SUM(X514,Z514,AB514,AD514)</f>
        <v>0</v>
      </c>
      <c r="AG514" s="602">
        <f t="shared" ref="AG514:AG577" si="166">+AF514/900</f>
        <v>0</v>
      </c>
      <c r="AH514" s="603">
        <f t="shared" ref="AH514:AH577" si="167">SUM(Y514,AA514,AC514,AE514)</f>
        <v>0</v>
      </c>
      <c r="AI514" s="603">
        <f t="shared" ref="AI514:AI577" si="168">+AH514/900</f>
        <v>0</v>
      </c>
      <c r="AJ514" s="298"/>
      <c r="AK514" s="299"/>
      <c r="AL514" s="601">
        <f t="shared" ref="AL514:AL577" si="169">IF(ISBLANK(AJ514),0,AF514)</f>
        <v>0</v>
      </c>
      <c r="AM514" s="604">
        <f t="shared" ref="AM514:AM577" si="170">IF(ISBLANK(AK514),0,AH514)</f>
        <v>0</v>
      </c>
      <c r="AN514" s="306"/>
      <c r="AO514" s="307"/>
      <c r="AP514" s="298">
        <v>72085</v>
      </c>
      <c r="AQ514" s="440">
        <v>71856</v>
      </c>
      <c r="AR514" s="298">
        <v>27859</v>
      </c>
      <c r="AS514" s="440">
        <v>26290</v>
      </c>
      <c r="AT514" s="298">
        <v>77545</v>
      </c>
      <c r="AU514" s="440">
        <v>78350</v>
      </c>
      <c r="AV514" s="601">
        <f t="shared" ref="AV514:AV577" si="171">SUM(AN514,AP514,AR514,AT514)</f>
        <v>177489</v>
      </c>
      <c r="AW514" s="609">
        <f t="shared" ref="AW514:AW577" si="172">+AV514/24</f>
        <v>7395.375</v>
      </c>
      <c r="AX514" s="603">
        <f t="shared" ref="AX514:AX577" si="173">SUM(AO514,AQ514,AS514,AU514)</f>
        <v>176496</v>
      </c>
      <c r="AY514" s="610">
        <f t="shared" ref="AY514:AY577" si="174">+AX514/24</f>
        <v>7354</v>
      </c>
      <c r="AZ514" s="611">
        <f t="shared" ref="AZ514:AZ577" si="175">SUM(Q514,AG514,AW514)</f>
        <v>42848.64166666667</v>
      </c>
      <c r="BA514" s="603">
        <f t="shared" ref="BA514:BA577" si="176">SUM(S514,AI514,AY514)</f>
        <v>43308.966666666667</v>
      </c>
    </row>
    <row r="515" spans="1:53">
      <c r="A515" s="429" t="s">
        <v>33</v>
      </c>
      <c r="B515" s="371" t="s">
        <v>536</v>
      </c>
      <c r="C515" s="443"/>
      <c r="D515" s="369">
        <v>229115</v>
      </c>
      <c r="E515" s="369">
        <v>1</v>
      </c>
      <c r="F515" s="296" t="s">
        <v>52</v>
      </c>
      <c r="G515" s="297" t="s">
        <v>52</v>
      </c>
      <c r="H515" s="298"/>
      <c r="I515" s="299"/>
      <c r="J515" s="298">
        <v>294893</v>
      </c>
      <c r="K515" s="299">
        <v>307954</v>
      </c>
      <c r="L515" s="298">
        <v>56327</v>
      </c>
      <c r="M515" s="299">
        <v>56185</v>
      </c>
      <c r="N515" s="298">
        <v>337912</v>
      </c>
      <c r="O515" s="299">
        <v>339414</v>
      </c>
      <c r="P515" s="601">
        <f t="shared" si="159"/>
        <v>689132</v>
      </c>
      <c r="Q515" s="602">
        <f t="shared" si="160"/>
        <v>22971.066666666666</v>
      </c>
      <c r="R515" s="603">
        <f t="shared" si="161"/>
        <v>703553</v>
      </c>
      <c r="S515" s="604">
        <f t="shared" si="162"/>
        <v>23451.766666666666</v>
      </c>
      <c r="T515" s="298">
        <v>0</v>
      </c>
      <c r="U515" s="299">
        <v>0</v>
      </c>
      <c r="V515" s="601">
        <f t="shared" si="163"/>
        <v>689132</v>
      </c>
      <c r="W515" s="605">
        <f t="shared" si="164"/>
        <v>703553</v>
      </c>
      <c r="X515" s="305"/>
      <c r="Y515" s="299"/>
      <c r="Z515" s="298"/>
      <c r="AA515" s="299"/>
      <c r="AB515" s="298"/>
      <c r="AC515" s="299"/>
      <c r="AD515" s="298"/>
      <c r="AE515" s="299"/>
      <c r="AF515" s="601">
        <f t="shared" si="165"/>
        <v>0</v>
      </c>
      <c r="AG515" s="602">
        <f t="shared" si="166"/>
        <v>0</v>
      </c>
      <c r="AH515" s="603">
        <f t="shared" si="167"/>
        <v>0</v>
      </c>
      <c r="AI515" s="603">
        <f t="shared" si="168"/>
        <v>0</v>
      </c>
      <c r="AJ515" s="298"/>
      <c r="AK515" s="299"/>
      <c r="AL515" s="601">
        <f t="shared" si="169"/>
        <v>0</v>
      </c>
      <c r="AM515" s="604">
        <f t="shared" si="170"/>
        <v>0</v>
      </c>
      <c r="AN515" s="306"/>
      <c r="AO515" s="307"/>
      <c r="AP515" s="298">
        <v>47585</v>
      </c>
      <c r="AQ515" s="440">
        <v>48305</v>
      </c>
      <c r="AR515" s="298">
        <v>21574</v>
      </c>
      <c r="AS515" s="440">
        <v>20755</v>
      </c>
      <c r="AT515" s="298">
        <v>49083</v>
      </c>
      <c r="AU515" s="440">
        <v>51353</v>
      </c>
      <c r="AV515" s="601">
        <f t="shared" si="171"/>
        <v>118242</v>
      </c>
      <c r="AW515" s="609">
        <f t="shared" si="172"/>
        <v>4926.75</v>
      </c>
      <c r="AX515" s="603">
        <f t="shared" si="173"/>
        <v>120413</v>
      </c>
      <c r="AY515" s="610">
        <f t="shared" si="174"/>
        <v>5017.208333333333</v>
      </c>
      <c r="AZ515" s="611">
        <f t="shared" si="175"/>
        <v>27897.816666666666</v>
      </c>
      <c r="BA515" s="603">
        <f t="shared" si="176"/>
        <v>28468.974999999999</v>
      </c>
    </row>
    <row r="516" spans="1:53">
      <c r="A516" s="429" t="s">
        <v>33</v>
      </c>
      <c r="B516" s="371" t="s">
        <v>537</v>
      </c>
      <c r="C516" s="443"/>
      <c r="D516" s="369">
        <v>225511</v>
      </c>
      <c r="E516" s="369">
        <v>1</v>
      </c>
      <c r="F516" s="296" t="s">
        <v>52</v>
      </c>
      <c r="G516" s="297" t="s">
        <v>52</v>
      </c>
      <c r="H516" s="298"/>
      <c r="I516" s="299"/>
      <c r="J516" s="298">
        <v>321243</v>
      </c>
      <c r="K516" s="299">
        <v>342055</v>
      </c>
      <c r="L516" s="298">
        <v>62486</v>
      </c>
      <c r="M516" s="299">
        <v>59414</v>
      </c>
      <c r="N516" s="298">
        <v>357809</v>
      </c>
      <c r="O516" s="299">
        <v>371406</v>
      </c>
      <c r="P516" s="601">
        <f t="shared" si="159"/>
        <v>741538</v>
      </c>
      <c r="Q516" s="602">
        <f t="shared" si="160"/>
        <v>24717.933333333334</v>
      </c>
      <c r="R516" s="603">
        <f t="shared" si="161"/>
        <v>772875</v>
      </c>
      <c r="S516" s="604">
        <f t="shared" si="162"/>
        <v>25762.5</v>
      </c>
      <c r="T516" s="298">
        <v>36</v>
      </c>
      <c r="U516" s="299">
        <v>42</v>
      </c>
      <c r="V516" s="601">
        <f t="shared" si="163"/>
        <v>741538</v>
      </c>
      <c r="W516" s="605">
        <f t="shared" si="164"/>
        <v>772875</v>
      </c>
      <c r="X516" s="305"/>
      <c r="Y516" s="299"/>
      <c r="Z516" s="298"/>
      <c r="AA516" s="299"/>
      <c r="AB516" s="298"/>
      <c r="AC516" s="299"/>
      <c r="AD516" s="298"/>
      <c r="AE516" s="299"/>
      <c r="AF516" s="601">
        <f t="shared" si="165"/>
        <v>0</v>
      </c>
      <c r="AG516" s="602">
        <f t="shared" si="166"/>
        <v>0</v>
      </c>
      <c r="AH516" s="603">
        <f t="shared" si="167"/>
        <v>0</v>
      </c>
      <c r="AI516" s="603">
        <f t="shared" si="168"/>
        <v>0</v>
      </c>
      <c r="AJ516" s="298"/>
      <c r="AK516" s="299"/>
      <c r="AL516" s="601">
        <f t="shared" si="169"/>
        <v>0</v>
      </c>
      <c r="AM516" s="604">
        <f t="shared" si="170"/>
        <v>0</v>
      </c>
      <c r="AN516" s="306"/>
      <c r="AO516" s="307"/>
      <c r="AP516" s="298">
        <v>75178</v>
      </c>
      <c r="AQ516" s="440">
        <v>76288</v>
      </c>
      <c r="AR516" s="298">
        <v>24910</v>
      </c>
      <c r="AS516" s="440">
        <v>24898</v>
      </c>
      <c r="AT516" s="298">
        <v>79454</v>
      </c>
      <c r="AU516" s="440">
        <v>78640</v>
      </c>
      <c r="AV516" s="601">
        <f t="shared" si="171"/>
        <v>179542</v>
      </c>
      <c r="AW516" s="609">
        <f t="shared" si="172"/>
        <v>7480.916666666667</v>
      </c>
      <c r="AX516" s="603">
        <f t="shared" si="173"/>
        <v>179826</v>
      </c>
      <c r="AY516" s="610">
        <f t="shared" si="174"/>
        <v>7492.75</v>
      </c>
      <c r="AZ516" s="611">
        <f t="shared" si="175"/>
        <v>32198.850000000002</v>
      </c>
      <c r="BA516" s="603">
        <f t="shared" si="176"/>
        <v>33255.25</v>
      </c>
    </row>
    <row r="517" spans="1:53">
      <c r="A517" s="429" t="s">
        <v>33</v>
      </c>
      <c r="B517" s="371" t="s">
        <v>538</v>
      </c>
      <c r="C517" s="443"/>
      <c r="D517" s="369">
        <v>227216</v>
      </c>
      <c r="E517" s="369">
        <v>1</v>
      </c>
      <c r="F517" s="296" t="s">
        <v>52</v>
      </c>
      <c r="G517" s="297" t="s">
        <v>52</v>
      </c>
      <c r="H517" s="298"/>
      <c r="I517" s="299"/>
      <c r="J517" s="298">
        <v>315379</v>
      </c>
      <c r="K517" s="299">
        <v>322161</v>
      </c>
      <c r="L517" s="298">
        <v>82427</v>
      </c>
      <c r="M517" s="299">
        <v>78715</v>
      </c>
      <c r="N517" s="298">
        <v>347531</v>
      </c>
      <c r="O517" s="299">
        <v>348202</v>
      </c>
      <c r="P517" s="601">
        <f t="shared" si="159"/>
        <v>745337</v>
      </c>
      <c r="Q517" s="602">
        <f t="shared" si="160"/>
        <v>24844.566666666666</v>
      </c>
      <c r="R517" s="603">
        <f t="shared" si="161"/>
        <v>749078</v>
      </c>
      <c r="S517" s="604">
        <f t="shared" si="162"/>
        <v>24969.266666666666</v>
      </c>
      <c r="T517" s="298">
        <v>0</v>
      </c>
      <c r="U517" s="299">
        <v>9</v>
      </c>
      <c r="V517" s="601">
        <f t="shared" si="163"/>
        <v>745337</v>
      </c>
      <c r="W517" s="605">
        <f t="shared" si="164"/>
        <v>749078</v>
      </c>
      <c r="X517" s="305"/>
      <c r="Y517" s="299"/>
      <c r="Z517" s="298"/>
      <c r="AA517" s="299"/>
      <c r="AB517" s="298"/>
      <c r="AC517" s="299"/>
      <c r="AD517" s="298"/>
      <c r="AE517" s="299"/>
      <c r="AF517" s="601">
        <f t="shared" si="165"/>
        <v>0</v>
      </c>
      <c r="AG517" s="602">
        <f t="shared" si="166"/>
        <v>0</v>
      </c>
      <c r="AH517" s="603">
        <f t="shared" si="167"/>
        <v>0</v>
      </c>
      <c r="AI517" s="603">
        <f t="shared" si="168"/>
        <v>0</v>
      </c>
      <c r="AJ517" s="298"/>
      <c r="AK517" s="299"/>
      <c r="AL517" s="601">
        <f t="shared" si="169"/>
        <v>0</v>
      </c>
      <c r="AM517" s="604">
        <f t="shared" si="170"/>
        <v>0</v>
      </c>
      <c r="AN517" s="306"/>
      <c r="AO517" s="307"/>
      <c r="AP517" s="298">
        <v>43205</v>
      </c>
      <c r="AQ517" s="440">
        <v>45471</v>
      </c>
      <c r="AR517" s="298">
        <v>21200</v>
      </c>
      <c r="AS517" s="440">
        <v>19006</v>
      </c>
      <c r="AT517" s="298">
        <v>46742</v>
      </c>
      <c r="AU517" s="440">
        <v>45604</v>
      </c>
      <c r="AV517" s="601">
        <f t="shared" si="171"/>
        <v>111147</v>
      </c>
      <c r="AW517" s="609">
        <f t="shared" si="172"/>
        <v>4631.125</v>
      </c>
      <c r="AX517" s="603">
        <f t="shared" si="173"/>
        <v>110081</v>
      </c>
      <c r="AY517" s="610">
        <f t="shared" si="174"/>
        <v>4586.708333333333</v>
      </c>
      <c r="AZ517" s="611">
        <f t="shared" si="175"/>
        <v>29475.691666666666</v>
      </c>
      <c r="BA517" s="603">
        <f t="shared" si="176"/>
        <v>29555.974999999999</v>
      </c>
    </row>
    <row r="518" spans="1:53">
      <c r="A518" s="429" t="s">
        <v>33</v>
      </c>
      <c r="B518" s="371" t="s">
        <v>539</v>
      </c>
      <c r="C518" s="443"/>
      <c r="D518" s="369">
        <v>228769</v>
      </c>
      <c r="E518" s="369">
        <v>1</v>
      </c>
      <c r="F518" s="296" t="s">
        <v>52</v>
      </c>
      <c r="G518" s="297" t="s">
        <v>52</v>
      </c>
      <c r="H518" s="298"/>
      <c r="I518" s="299"/>
      <c r="J518" s="298">
        <v>238827</v>
      </c>
      <c r="K518" s="299">
        <v>276224</v>
      </c>
      <c r="L518" s="298">
        <v>77088</v>
      </c>
      <c r="M518" s="299">
        <v>92280</v>
      </c>
      <c r="N518" s="298">
        <v>260580</v>
      </c>
      <c r="O518" s="299">
        <v>266722</v>
      </c>
      <c r="P518" s="601">
        <f t="shared" si="159"/>
        <v>576495</v>
      </c>
      <c r="Q518" s="602">
        <f t="shared" si="160"/>
        <v>19216.5</v>
      </c>
      <c r="R518" s="603">
        <f t="shared" si="161"/>
        <v>635226</v>
      </c>
      <c r="S518" s="604">
        <f t="shared" si="162"/>
        <v>21174.2</v>
      </c>
      <c r="T518" s="298">
        <v>7094</v>
      </c>
      <c r="U518" s="299">
        <v>5900</v>
      </c>
      <c r="V518" s="601">
        <f t="shared" si="163"/>
        <v>576495</v>
      </c>
      <c r="W518" s="605">
        <f t="shared" si="164"/>
        <v>635226</v>
      </c>
      <c r="X518" s="305"/>
      <c r="Y518" s="299"/>
      <c r="Z518" s="298"/>
      <c r="AA518" s="299"/>
      <c r="AB518" s="298"/>
      <c r="AC518" s="299"/>
      <c r="AD518" s="298"/>
      <c r="AE518" s="299"/>
      <c r="AF518" s="601">
        <f t="shared" si="165"/>
        <v>0</v>
      </c>
      <c r="AG518" s="602">
        <f t="shared" si="166"/>
        <v>0</v>
      </c>
      <c r="AH518" s="603">
        <f t="shared" si="167"/>
        <v>0</v>
      </c>
      <c r="AI518" s="603">
        <f t="shared" si="168"/>
        <v>0</v>
      </c>
      <c r="AJ518" s="298"/>
      <c r="AK518" s="299"/>
      <c r="AL518" s="601">
        <f t="shared" si="169"/>
        <v>0</v>
      </c>
      <c r="AM518" s="604">
        <f t="shared" si="170"/>
        <v>0</v>
      </c>
      <c r="AN518" s="306"/>
      <c r="AO518" s="307"/>
      <c r="AP518" s="298">
        <v>45485</v>
      </c>
      <c r="AQ518" s="440">
        <v>56387</v>
      </c>
      <c r="AR518" s="298">
        <v>28231</v>
      </c>
      <c r="AS518" s="440">
        <v>34695</v>
      </c>
      <c r="AT518" s="298">
        <v>49308</v>
      </c>
      <c r="AU518" s="440">
        <v>50079</v>
      </c>
      <c r="AV518" s="601">
        <f t="shared" si="171"/>
        <v>123024</v>
      </c>
      <c r="AW518" s="609">
        <f t="shared" si="172"/>
        <v>5126</v>
      </c>
      <c r="AX518" s="603">
        <f t="shared" si="173"/>
        <v>141161</v>
      </c>
      <c r="AY518" s="610">
        <f t="shared" si="174"/>
        <v>5881.708333333333</v>
      </c>
      <c r="AZ518" s="611">
        <f t="shared" si="175"/>
        <v>24342.5</v>
      </c>
      <c r="BA518" s="603">
        <f t="shared" si="176"/>
        <v>27055.908333333333</v>
      </c>
    </row>
    <row r="519" spans="1:53">
      <c r="A519" s="429" t="s">
        <v>33</v>
      </c>
      <c r="B519" s="371" t="s">
        <v>540</v>
      </c>
      <c r="C519" s="443"/>
      <c r="D519" s="369">
        <v>228778</v>
      </c>
      <c r="E519" s="369">
        <v>1</v>
      </c>
      <c r="F519" s="296" t="s">
        <v>52</v>
      </c>
      <c r="G519" s="297" t="s">
        <v>52</v>
      </c>
      <c r="H519" s="298"/>
      <c r="I519" s="299"/>
      <c r="J519" s="298">
        <v>468870</v>
      </c>
      <c r="K519" s="299">
        <v>473427</v>
      </c>
      <c r="L519" s="298">
        <v>63187</v>
      </c>
      <c r="M519" s="299">
        <v>63032</v>
      </c>
      <c r="N519" s="298">
        <v>505648</v>
      </c>
      <c r="O519" s="299">
        <v>507622</v>
      </c>
      <c r="P519" s="601">
        <f t="shared" si="159"/>
        <v>1037705</v>
      </c>
      <c r="Q519" s="602">
        <f t="shared" si="160"/>
        <v>34590.166666666664</v>
      </c>
      <c r="R519" s="603">
        <f t="shared" si="161"/>
        <v>1044081</v>
      </c>
      <c r="S519" s="604">
        <f t="shared" si="162"/>
        <v>34802.699999999997</v>
      </c>
      <c r="T519" s="298">
        <v>0</v>
      </c>
      <c r="U519" s="299">
        <v>0</v>
      </c>
      <c r="V519" s="601">
        <f t="shared" si="163"/>
        <v>1037705</v>
      </c>
      <c r="W519" s="605">
        <f t="shared" si="164"/>
        <v>1044081</v>
      </c>
      <c r="X519" s="305"/>
      <c r="Y519" s="299"/>
      <c r="Z519" s="298"/>
      <c r="AA519" s="299"/>
      <c r="AB519" s="298"/>
      <c r="AC519" s="299"/>
      <c r="AD519" s="298"/>
      <c r="AE519" s="299"/>
      <c r="AF519" s="601">
        <f t="shared" si="165"/>
        <v>0</v>
      </c>
      <c r="AG519" s="602">
        <f t="shared" si="166"/>
        <v>0</v>
      </c>
      <c r="AH519" s="603">
        <f t="shared" si="167"/>
        <v>0</v>
      </c>
      <c r="AI519" s="603">
        <f t="shared" si="168"/>
        <v>0</v>
      </c>
      <c r="AJ519" s="298"/>
      <c r="AK519" s="299"/>
      <c r="AL519" s="601">
        <f t="shared" si="169"/>
        <v>0</v>
      </c>
      <c r="AM519" s="604">
        <f t="shared" si="170"/>
        <v>0</v>
      </c>
      <c r="AN519" s="306"/>
      <c r="AO519" s="307"/>
      <c r="AP519" s="298">
        <v>119216</v>
      </c>
      <c r="AQ519" s="440">
        <v>119353</v>
      </c>
      <c r="AR519" s="298">
        <v>25498</v>
      </c>
      <c r="AS519" s="440">
        <v>25330</v>
      </c>
      <c r="AT519" s="298">
        <v>123866</v>
      </c>
      <c r="AU519" s="440">
        <v>124092</v>
      </c>
      <c r="AV519" s="601">
        <f t="shared" si="171"/>
        <v>268580</v>
      </c>
      <c r="AW519" s="609">
        <f t="shared" si="172"/>
        <v>11190.833333333334</v>
      </c>
      <c r="AX519" s="603">
        <f t="shared" si="173"/>
        <v>268775</v>
      </c>
      <c r="AY519" s="610">
        <f t="shared" si="174"/>
        <v>11198.958333333334</v>
      </c>
      <c r="AZ519" s="611">
        <f t="shared" si="175"/>
        <v>45781</v>
      </c>
      <c r="BA519" s="603">
        <f t="shared" si="176"/>
        <v>46001.658333333333</v>
      </c>
    </row>
    <row r="520" spans="1:53">
      <c r="A520" s="429" t="s">
        <v>33</v>
      </c>
      <c r="B520" s="371" t="s">
        <v>541</v>
      </c>
      <c r="C520" s="443"/>
      <c r="D520" s="369">
        <v>228787</v>
      </c>
      <c r="E520" s="369">
        <v>1</v>
      </c>
      <c r="F520" s="296" t="s">
        <v>52</v>
      </c>
      <c r="G520" s="297" t="s">
        <v>52</v>
      </c>
      <c r="H520" s="298"/>
      <c r="I520" s="299"/>
      <c r="J520" s="298">
        <v>114089</v>
      </c>
      <c r="K520" s="299">
        <v>124322</v>
      </c>
      <c r="L520" s="298">
        <v>21808</v>
      </c>
      <c r="M520" s="299">
        <v>21405</v>
      </c>
      <c r="N520" s="298">
        <v>132333</v>
      </c>
      <c r="O520" s="299">
        <v>147398</v>
      </c>
      <c r="P520" s="601">
        <f t="shared" si="159"/>
        <v>268230</v>
      </c>
      <c r="Q520" s="602">
        <f t="shared" si="160"/>
        <v>8941</v>
      </c>
      <c r="R520" s="603">
        <f t="shared" si="161"/>
        <v>293125</v>
      </c>
      <c r="S520" s="604">
        <f t="shared" si="162"/>
        <v>9770.8333333333339</v>
      </c>
      <c r="T520" s="298">
        <v>0</v>
      </c>
      <c r="U520" s="299">
        <v>0</v>
      </c>
      <c r="V520" s="601">
        <f t="shared" si="163"/>
        <v>268230</v>
      </c>
      <c r="W520" s="605">
        <f t="shared" si="164"/>
        <v>293125</v>
      </c>
      <c r="X520" s="305"/>
      <c r="Y520" s="299"/>
      <c r="Z520" s="298"/>
      <c r="AA520" s="299"/>
      <c r="AB520" s="298"/>
      <c r="AC520" s="299"/>
      <c r="AD520" s="298"/>
      <c r="AE520" s="299"/>
      <c r="AF520" s="601">
        <f t="shared" si="165"/>
        <v>0</v>
      </c>
      <c r="AG520" s="602">
        <f t="shared" si="166"/>
        <v>0</v>
      </c>
      <c r="AH520" s="603">
        <f t="shared" si="167"/>
        <v>0</v>
      </c>
      <c r="AI520" s="603">
        <f t="shared" si="168"/>
        <v>0</v>
      </c>
      <c r="AJ520" s="298"/>
      <c r="AK520" s="299"/>
      <c r="AL520" s="601">
        <f t="shared" si="169"/>
        <v>0</v>
      </c>
      <c r="AM520" s="604">
        <f t="shared" si="170"/>
        <v>0</v>
      </c>
      <c r="AN520" s="306"/>
      <c r="AO520" s="307"/>
      <c r="AP520" s="298">
        <v>45120</v>
      </c>
      <c r="AQ520" s="440">
        <v>46614</v>
      </c>
      <c r="AR520" s="298">
        <v>21256</v>
      </c>
      <c r="AS520" s="440">
        <v>19490</v>
      </c>
      <c r="AT520" s="298">
        <v>48068</v>
      </c>
      <c r="AU520" s="440">
        <v>53976</v>
      </c>
      <c r="AV520" s="601">
        <f t="shared" si="171"/>
        <v>114444</v>
      </c>
      <c r="AW520" s="609">
        <f t="shared" si="172"/>
        <v>4768.5</v>
      </c>
      <c r="AX520" s="603">
        <f t="shared" si="173"/>
        <v>120080</v>
      </c>
      <c r="AY520" s="610">
        <f t="shared" si="174"/>
        <v>5003.333333333333</v>
      </c>
      <c r="AZ520" s="611">
        <f t="shared" si="175"/>
        <v>13709.5</v>
      </c>
      <c r="BA520" s="603">
        <f t="shared" si="176"/>
        <v>14774.166666666668</v>
      </c>
    </row>
    <row r="521" spans="1:53">
      <c r="A521" s="429" t="s">
        <v>33</v>
      </c>
      <c r="B521" s="444" t="s">
        <v>542</v>
      </c>
      <c r="C521" s="443" t="s">
        <v>721</v>
      </c>
      <c r="D521" s="369">
        <v>229179</v>
      </c>
      <c r="E521" s="369">
        <v>2</v>
      </c>
      <c r="F521" s="296" t="s">
        <v>52</v>
      </c>
      <c r="G521" s="297" t="s">
        <v>52</v>
      </c>
      <c r="H521" s="298"/>
      <c r="I521" s="299"/>
      <c r="J521" s="298">
        <v>85897</v>
      </c>
      <c r="K521" s="299">
        <v>93769</v>
      </c>
      <c r="L521" s="298">
        <v>22998</v>
      </c>
      <c r="M521" s="299">
        <v>22813</v>
      </c>
      <c r="N521" s="298">
        <v>98973</v>
      </c>
      <c r="O521" s="299">
        <v>104993</v>
      </c>
      <c r="P521" s="601">
        <f t="shared" si="159"/>
        <v>207868</v>
      </c>
      <c r="Q521" s="602">
        <f t="shared" si="160"/>
        <v>6928.9333333333334</v>
      </c>
      <c r="R521" s="603">
        <f t="shared" si="161"/>
        <v>221575</v>
      </c>
      <c r="S521" s="604">
        <f t="shared" si="162"/>
        <v>7385.833333333333</v>
      </c>
      <c r="T521" s="298">
        <v>0</v>
      </c>
      <c r="U521" s="299">
        <v>0</v>
      </c>
      <c r="V521" s="601">
        <f t="shared" si="163"/>
        <v>207868</v>
      </c>
      <c r="W521" s="605">
        <f t="shared" si="164"/>
        <v>221575</v>
      </c>
      <c r="X521" s="305"/>
      <c r="Y521" s="299"/>
      <c r="Z521" s="298"/>
      <c r="AA521" s="299"/>
      <c r="AB521" s="298"/>
      <c r="AC521" s="299"/>
      <c r="AD521" s="298"/>
      <c r="AE521" s="299"/>
      <c r="AF521" s="601">
        <f t="shared" si="165"/>
        <v>0</v>
      </c>
      <c r="AG521" s="602">
        <f t="shared" si="166"/>
        <v>0</v>
      </c>
      <c r="AH521" s="603">
        <f t="shared" si="167"/>
        <v>0</v>
      </c>
      <c r="AI521" s="603">
        <f t="shared" si="168"/>
        <v>0</v>
      </c>
      <c r="AJ521" s="298"/>
      <c r="AK521" s="299"/>
      <c r="AL521" s="601">
        <f t="shared" si="169"/>
        <v>0</v>
      </c>
      <c r="AM521" s="604">
        <f t="shared" si="170"/>
        <v>0</v>
      </c>
      <c r="AN521" s="306"/>
      <c r="AO521" s="307"/>
      <c r="AP521" s="298">
        <v>37067</v>
      </c>
      <c r="AQ521" s="440">
        <v>33912</v>
      </c>
      <c r="AR521" s="298">
        <v>24204</v>
      </c>
      <c r="AS521" s="440">
        <v>28120</v>
      </c>
      <c r="AT521" s="298">
        <v>38566</v>
      </c>
      <c r="AU521" s="440">
        <v>38991</v>
      </c>
      <c r="AV521" s="601">
        <f t="shared" si="171"/>
        <v>99837</v>
      </c>
      <c r="AW521" s="609">
        <f t="shared" si="172"/>
        <v>4159.875</v>
      </c>
      <c r="AX521" s="603">
        <f t="shared" si="173"/>
        <v>101023</v>
      </c>
      <c r="AY521" s="610">
        <f t="shared" si="174"/>
        <v>4209.291666666667</v>
      </c>
      <c r="AZ521" s="611">
        <f t="shared" si="175"/>
        <v>11088.808333333334</v>
      </c>
      <c r="BA521" s="603">
        <f t="shared" si="176"/>
        <v>11595.125</v>
      </c>
    </row>
    <row r="522" spans="1:53">
      <c r="A522" s="429" t="s">
        <v>33</v>
      </c>
      <c r="B522" s="371" t="s">
        <v>543</v>
      </c>
      <c r="C522" s="443"/>
      <c r="D522" s="369">
        <v>228796</v>
      </c>
      <c r="E522" s="369">
        <v>2</v>
      </c>
      <c r="F522" s="296" t="s">
        <v>52</v>
      </c>
      <c r="G522" s="297" t="s">
        <v>52</v>
      </c>
      <c r="H522" s="298"/>
      <c r="I522" s="299"/>
      <c r="J522" s="298">
        <v>182174</v>
      </c>
      <c r="K522" s="299">
        <v>192515</v>
      </c>
      <c r="L522" s="298">
        <v>53109</v>
      </c>
      <c r="M522" s="299">
        <v>56925</v>
      </c>
      <c r="N522" s="298">
        <v>200640</v>
      </c>
      <c r="O522" s="299">
        <v>208966</v>
      </c>
      <c r="P522" s="601">
        <f t="shared" si="159"/>
        <v>435923</v>
      </c>
      <c r="Q522" s="602">
        <f t="shared" si="160"/>
        <v>14530.766666666666</v>
      </c>
      <c r="R522" s="603">
        <f t="shared" si="161"/>
        <v>458406</v>
      </c>
      <c r="S522" s="604">
        <f t="shared" si="162"/>
        <v>15280.2</v>
      </c>
      <c r="T522" s="298">
        <v>916</v>
      </c>
      <c r="U522" s="299">
        <v>495</v>
      </c>
      <c r="V522" s="601">
        <f t="shared" si="163"/>
        <v>435923</v>
      </c>
      <c r="W522" s="605">
        <f t="shared" si="164"/>
        <v>458406</v>
      </c>
      <c r="X522" s="305"/>
      <c r="Y522" s="299"/>
      <c r="Z522" s="298"/>
      <c r="AA522" s="299"/>
      <c r="AB522" s="298"/>
      <c r="AC522" s="299"/>
      <c r="AD522" s="298"/>
      <c r="AE522" s="299"/>
      <c r="AF522" s="601">
        <f t="shared" si="165"/>
        <v>0</v>
      </c>
      <c r="AG522" s="602">
        <f t="shared" si="166"/>
        <v>0</v>
      </c>
      <c r="AH522" s="603">
        <f t="shared" si="167"/>
        <v>0</v>
      </c>
      <c r="AI522" s="603">
        <f t="shared" si="168"/>
        <v>0</v>
      </c>
      <c r="AJ522" s="298"/>
      <c r="AK522" s="299"/>
      <c r="AL522" s="601">
        <f t="shared" si="169"/>
        <v>0</v>
      </c>
      <c r="AM522" s="604">
        <f t="shared" si="170"/>
        <v>0</v>
      </c>
      <c r="AN522" s="306"/>
      <c r="AO522" s="307"/>
      <c r="AP522" s="298">
        <v>24275</v>
      </c>
      <c r="AQ522" s="440">
        <v>25128</v>
      </c>
      <c r="AR522" s="298">
        <v>10848</v>
      </c>
      <c r="AS522" s="440">
        <v>11253</v>
      </c>
      <c r="AT522" s="298">
        <v>25016</v>
      </c>
      <c r="AU522" s="440">
        <v>24541</v>
      </c>
      <c r="AV522" s="601">
        <f t="shared" si="171"/>
        <v>60139</v>
      </c>
      <c r="AW522" s="609">
        <f t="shared" si="172"/>
        <v>2505.7916666666665</v>
      </c>
      <c r="AX522" s="603">
        <f t="shared" si="173"/>
        <v>60922</v>
      </c>
      <c r="AY522" s="610">
        <f t="shared" si="174"/>
        <v>2538.4166666666665</v>
      </c>
      <c r="AZ522" s="611">
        <f t="shared" si="175"/>
        <v>17036.558333333334</v>
      </c>
      <c r="BA522" s="603">
        <f t="shared" si="176"/>
        <v>17818.616666666669</v>
      </c>
    </row>
    <row r="523" spans="1:53">
      <c r="A523" s="429" t="s">
        <v>33</v>
      </c>
      <c r="B523" s="371" t="s">
        <v>544</v>
      </c>
      <c r="C523" s="443"/>
      <c r="D523" s="369">
        <v>229027</v>
      </c>
      <c r="E523" s="369">
        <v>2</v>
      </c>
      <c r="F523" s="296" t="s">
        <v>52</v>
      </c>
      <c r="G523" s="297" t="s">
        <v>52</v>
      </c>
      <c r="H523" s="298"/>
      <c r="I523" s="299"/>
      <c r="J523" s="298">
        <v>270105</v>
      </c>
      <c r="K523" s="299">
        <v>278553</v>
      </c>
      <c r="L523" s="298">
        <v>57403</v>
      </c>
      <c r="M523" s="299">
        <v>58082</v>
      </c>
      <c r="N523" s="298">
        <v>304271</v>
      </c>
      <c r="O523" s="299">
        <v>316003</v>
      </c>
      <c r="P523" s="601">
        <f t="shared" si="159"/>
        <v>631779</v>
      </c>
      <c r="Q523" s="602">
        <f t="shared" si="160"/>
        <v>21059.3</v>
      </c>
      <c r="R523" s="603">
        <f t="shared" si="161"/>
        <v>652638</v>
      </c>
      <c r="S523" s="604">
        <f t="shared" si="162"/>
        <v>21754.6</v>
      </c>
      <c r="T523" s="298">
        <v>3802</v>
      </c>
      <c r="U523" s="299">
        <v>726</v>
      </c>
      <c r="V523" s="601">
        <f t="shared" si="163"/>
        <v>631779</v>
      </c>
      <c r="W523" s="605">
        <f t="shared" si="164"/>
        <v>652638</v>
      </c>
      <c r="X523" s="305"/>
      <c r="Y523" s="299"/>
      <c r="Z523" s="298"/>
      <c r="AA523" s="299"/>
      <c r="AB523" s="298"/>
      <c r="AC523" s="299"/>
      <c r="AD523" s="298"/>
      <c r="AE523" s="299"/>
      <c r="AF523" s="601">
        <f t="shared" si="165"/>
        <v>0</v>
      </c>
      <c r="AG523" s="602">
        <f t="shared" si="166"/>
        <v>0</v>
      </c>
      <c r="AH523" s="603">
        <f t="shared" si="167"/>
        <v>0</v>
      </c>
      <c r="AI523" s="603">
        <f t="shared" si="168"/>
        <v>0</v>
      </c>
      <c r="AJ523" s="298"/>
      <c r="AK523" s="299"/>
      <c r="AL523" s="601">
        <f t="shared" si="169"/>
        <v>0</v>
      </c>
      <c r="AM523" s="604">
        <f t="shared" si="170"/>
        <v>0</v>
      </c>
      <c r="AN523" s="306"/>
      <c r="AO523" s="307"/>
      <c r="AP523" s="298">
        <v>24815</v>
      </c>
      <c r="AQ523" s="440">
        <v>28383</v>
      </c>
      <c r="AR523" s="298">
        <v>9775</v>
      </c>
      <c r="AS523" s="440">
        <v>10436</v>
      </c>
      <c r="AT523" s="298">
        <v>28568</v>
      </c>
      <c r="AU523" s="440">
        <v>31077</v>
      </c>
      <c r="AV523" s="601">
        <f t="shared" si="171"/>
        <v>63158</v>
      </c>
      <c r="AW523" s="609">
        <f t="shared" si="172"/>
        <v>2631.5833333333335</v>
      </c>
      <c r="AX523" s="603">
        <f t="shared" si="173"/>
        <v>69896</v>
      </c>
      <c r="AY523" s="610">
        <f t="shared" si="174"/>
        <v>2912.3333333333335</v>
      </c>
      <c r="AZ523" s="611">
        <f t="shared" si="175"/>
        <v>23690.883333333331</v>
      </c>
      <c r="BA523" s="603">
        <f t="shared" si="176"/>
        <v>24666.933333333331</v>
      </c>
    </row>
    <row r="524" spans="1:53">
      <c r="A524" s="429" t="s">
        <v>33</v>
      </c>
      <c r="B524" s="371" t="s">
        <v>545</v>
      </c>
      <c r="C524" s="443"/>
      <c r="D524" s="369">
        <v>222831</v>
      </c>
      <c r="E524" s="369">
        <v>3</v>
      </c>
      <c r="F524" s="296" t="s">
        <v>52</v>
      </c>
      <c r="G524" s="297" t="s">
        <v>52</v>
      </c>
      <c r="H524" s="298"/>
      <c r="I524" s="299"/>
      <c r="J524" s="298">
        <v>63208</v>
      </c>
      <c r="K524" s="299">
        <v>65927</v>
      </c>
      <c r="L524" s="298">
        <v>13641</v>
      </c>
      <c r="M524" s="299">
        <v>12312</v>
      </c>
      <c r="N524" s="298">
        <v>73435</v>
      </c>
      <c r="O524" s="299">
        <v>73820</v>
      </c>
      <c r="P524" s="601">
        <f t="shared" si="159"/>
        <v>150284</v>
      </c>
      <c r="Q524" s="602">
        <f t="shared" si="160"/>
        <v>5009.4666666666662</v>
      </c>
      <c r="R524" s="603">
        <f t="shared" si="161"/>
        <v>152059</v>
      </c>
      <c r="S524" s="604">
        <f t="shared" si="162"/>
        <v>5068.6333333333332</v>
      </c>
      <c r="T524" s="298">
        <v>220</v>
      </c>
      <c r="U524" s="299">
        <v>411</v>
      </c>
      <c r="V524" s="601">
        <f t="shared" si="163"/>
        <v>150284</v>
      </c>
      <c r="W524" s="605">
        <f t="shared" si="164"/>
        <v>152059</v>
      </c>
      <c r="X524" s="305"/>
      <c r="Y524" s="299"/>
      <c r="Z524" s="298"/>
      <c r="AA524" s="299"/>
      <c r="AB524" s="298"/>
      <c r="AC524" s="299"/>
      <c r="AD524" s="298"/>
      <c r="AE524" s="299"/>
      <c r="AF524" s="601">
        <f t="shared" si="165"/>
        <v>0</v>
      </c>
      <c r="AG524" s="602">
        <f t="shared" si="166"/>
        <v>0</v>
      </c>
      <c r="AH524" s="603">
        <f t="shared" si="167"/>
        <v>0</v>
      </c>
      <c r="AI524" s="603">
        <f t="shared" si="168"/>
        <v>0</v>
      </c>
      <c r="AJ524" s="298"/>
      <c r="AK524" s="299"/>
      <c r="AL524" s="601">
        <f t="shared" si="169"/>
        <v>0</v>
      </c>
      <c r="AM524" s="604">
        <f t="shared" si="170"/>
        <v>0</v>
      </c>
      <c r="AN524" s="306"/>
      <c r="AO524" s="307"/>
      <c r="AP524" s="298">
        <v>3717</v>
      </c>
      <c r="AQ524" s="440">
        <v>5059</v>
      </c>
      <c r="AR524" s="298">
        <v>3479</v>
      </c>
      <c r="AS524" s="440">
        <v>4082</v>
      </c>
      <c r="AT524" s="298">
        <v>4657</v>
      </c>
      <c r="AU524" s="440">
        <v>5547</v>
      </c>
      <c r="AV524" s="601">
        <f t="shared" si="171"/>
        <v>11853</v>
      </c>
      <c r="AW524" s="609">
        <f t="shared" si="172"/>
        <v>493.875</v>
      </c>
      <c r="AX524" s="603">
        <f t="shared" si="173"/>
        <v>14688</v>
      </c>
      <c r="AY524" s="610">
        <f t="shared" si="174"/>
        <v>612</v>
      </c>
      <c r="AZ524" s="611">
        <f t="shared" si="175"/>
        <v>5503.3416666666662</v>
      </c>
      <c r="BA524" s="603">
        <f t="shared" si="176"/>
        <v>5680.6333333333332</v>
      </c>
    </row>
    <row r="525" spans="1:53">
      <c r="A525" s="429" t="s">
        <v>33</v>
      </c>
      <c r="B525" s="371" t="s">
        <v>546</v>
      </c>
      <c r="C525" s="443"/>
      <c r="D525" s="369">
        <v>226091</v>
      </c>
      <c r="E525" s="369">
        <v>3</v>
      </c>
      <c r="F525" s="296" t="s">
        <v>52</v>
      </c>
      <c r="G525" s="297" t="s">
        <v>52</v>
      </c>
      <c r="H525" s="298"/>
      <c r="I525" s="299"/>
      <c r="J525" s="298">
        <v>98529</v>
      </c>
      <c r="K525" s="299">
        <v>100855</v>
      </c>
      <c r="L525" s="298">
        <v>24935</v>
      </c>
      <c r="M525" s="299">
        <v>27853</v>
      </c>
      <c r="N525" s="298">
        <v>108717</v>
      </c>
      <c r="O525" s="299">
        <v>111067</v>
      </c>
      <c r="P525" s="601">
        <f t="shared" si="159"/>
        <v>232181</v>
      </c>
      <c r="Q525" s="602">
        <f t="shared" si="160"/>
        <v>7739.3666666666668</v>
      </c>
      <c r="R525" s="603">
        <f t="shared" si="161"/>
        <v>239775</v>
      </c>
      <c r="S525" s="604">
        <f t="shared" si="162"/>
        <v>7992.5</v>
      </c>
      <c r="T525" s="298">
        <v>2973</v>
      </c>
      <c r="U525" s="299">
        <v>3546</v>
      </c>
      <c r="V525" s="601">
        <f t="shared" si="163"/>
        <v>232181</v>
      </c>
      <c r="W525" s="605">
        <f t="shared" si="164"/>
        <v>239775</v>
      </c>
      <c r="X525" s="305"/>
      <c r="Y525" s="299"/>
      <c r="Z525" s="298"/>
      <c r="AA525" s="299"/>
      <c r="AB525" s="298"/>
      <c r="AC525" s="299"/>
      <c r="AD525" s="298"/>
      <c r="AE525" s="299"/>
      <c r="AF525" s="601">
        <f t="shared" si="165"/>
        <v>0</v>
      </c>
      <c r="AG525" s="602">
        <f t="shared" si="166"/>
        <v>0</v>
      </c>
      <c r="AH525" s="603">
        <f t="shared" si="167"/>
        <v>0</v>
      </c>
      <c r="AI525" s="603">
        <f t="shared" si="168"/>
        <v>0</v>
      </c>
      <c r="AJ525" s="298"/>
      <c r="AK525" s="299"/>
      <c r="AL525" s="601">
        <f t="shared" si="169"/>
        <v>0</v>
      </c>
      <c r="AM525" s="604">
        <f t="shared" si="170"/>
        <v>0</v>
      </c>
      <c r="AN525" s="306"/>
      <c r="AO525" s="307"/>
      <c r="AP525" s="298">
        <v>36072</v>
      </c>
      <c r="AQ525" s="440">
        <v>34182</v>
      </c>
      <c r="AR525" s="298">
        <v>34917</v>
      </c>
      <c r="AS525" s="440">
        <v>27577</v>
      </c>
      <c r="AT525" s="298">
        <v>27162</v>
      </c>
      <c r="AU525" s="440">
        <v>17028</v>
      </c>
      <c r="AV525" s="601">
        <f t="shared" si="171"/>
        <v>98151</v>
      </c>
      <c r="AW525" s="609">
        <f t="shared" si="172"/>
        <v>4089.625</v>
      </c>
      <c r="AX525" s="603">
        <f t="shared" si="173"/>
        <v>78787</v>
      </c>
      <c r="AY525" s="610">
        <f t="shared" si="174"/>
        <v>3282.7916666666665</v>
      </c>
      <c r="AZ525" s="611">
        <f t="shared" si="175"/>
        <v>11828.991666666667</v>
      </c>
      <c r="BA525" s="603">
        <f t="shared" si="176"/>
        <v>11275.291666666666</v>
      </c>
    </row>
    <row r="526" spans="1:53">
      <c r="A526" s="429" t="s">
        <v>33</v>
      </c>
      <c r="B526" s="371" t="s">
        <v>547</v>
      </c>
      <c r="C526" s="443"/>
      <c r="D526" s="369">
        <v>226833</v>
      </c>
      <c r="E526" s="369">
        <v>3</v>
      </c>
      <c r="F526" s="296" t="s">
        <v>52</v>
      </c>
      <c r="G526" s="297" t="s">
        <v>52</v>
      </c>
      <c r="H526" s="298"/>
      <c r="I526" s="299"/>
      <c r="J526" s="298">
        <v>60085</v>
      </c>
      <c r="K526" s="299">
        <v>61553</v>
      </c>
      <c r="L526" s="298">
        <v>15891</v>
      </c>
      <c r="M526" s="299">
        <v>15083</v>
      </c>
      <c r="N526" s="298">
        <v>65816</v>
      </c>
      <c r="O526" s="299">
        <v>62216</v>
      </c>
      <c r="P526" s="601">
        <f t="shared" si="159"/>
        <v>141792</v>
      </c>
      <c r="Q526" s="602">
        <f t="shared" si="160"/>
        <v>4726.3999999999996</v>
      </c>
      <c r="R526" s="603">
        <f t="shared" si="161"/>
        <v>138852</v>
      </c>
      <c r="S526" s="604">
        <f t="shared" si="162"/>
        <v>4628.3999999999996</v>
      </c>
      <c r="T526" s="298">
        <v>172</v>
      </c>
      <c r="U526" s="299">
        <v>144</v>
      </c>
      <c r="V526" s="601">
        <f t="shared" si="163"/>
        <v>141792</v>
      </c>
      <c r="W526" s="605">
        <f t="shared" si="164"/>
        <v>138852</v>
      </c>
      <c r="X526" s="305"/>
      <c r="Y526" s="299"/>
      <c r="Z526" s="298"/>
      <c r="AA526" s="299"/>
      <c r="AB526" s="298"/>
      <c r="AC526" s="299"/>
      <c r="AD526" s="298"/>
      <c r="AE526" s="299"/>
      <c r="AF526" s="601">
        <f t="shared" si="165"/>
        <v>0</v>
      </c>
      <c r="AG526" s="602">
        <f t="shared" si="166"/>
        <v>0</v>
      </c>
      <c r="AH526" s="603">
        <f t="shared" si="167"/>
        <v>0</v>
      </c>
      <c r="AI526" s="603">
        <f t="shared" si="168"/>
        <v>0</v>
      </c>
      <c r="AJ526" s="298"/>
      <c r="AK526" s="299"/>
      <c r="AL526" s="601">
        <f t="shared" si="169"/>
        <v>0</v>
      </c>
      <c r="AM526" s="604">
        <f t="shared" si="170"/>
        <v>0</v>
      </c>
      <c r="AN526" s="306"/>
      <c r="AO526" s="307"/>
      <c r="AP526" s="298">
        <v>3175</v>
      </c>
      <c r="AQ526" s="440">
        <v>3256</v>
      </c>
      <c r="AR526" s="298">
        <v>1853</v>
      </c>
      <c r="AS526" s="440">
        <v>1991</v>
      </c>
      <c r="AT526" s="298">
        <v>3328</v>
      </c>
      <c r="AU526" s="440">
        <v>3202</v>
      </c>
      <c r="AV526" s="601">
        <f t="shared" si="171"/>
        <v>8356</v>
      </c>
      <c r="AW526" s="609">
        <f t="shared" si="172"/>
        <v>348.16666666666669</v>
      </c>
      <c r="AX526" s="603">
        <f t="shared" si="173"/>
        <v>8449</v>
      </c>
      <c r="AY526" s="610">
        <f t="shared" si="174"/>
        <v>352.04166666666669</v>
      </c>
      <c r="AZ526" s="611">
        <f t="shared" si="175"/>
        <v>5074.5666666666666</v>
      </c>
      <c r="BA526" s="603">
        <f t="shared" si="176"/>
        <v>4980.4416666666666</v>
      </c>
    </row>
    <row r="527" spans="1:53">
      <c r="A527" s="429" t="s">
        <v>33</v>
      </c>
      <c r="B527" s="371" t="s">
        <v>548</v>
      </c>
      <c r="C527" s="443"/>
      <c r="D527" s="369">
        <v>227526</v>
      </c>
      <c r="E527" s="369">
        <v>3</v>
      </c>
      <c r="F527" s="296" t="s">
        <v>52</v>
      </c>
      <c r="G527" s="297" t="s">
        <v>52</v>
      </c>
      <c r="H527" s="298"/>
      <c r="I527" s="299"/>
      <c r="J527" s="298">
        <v>78714</v>
      </c>
      <c r="K527" s="299">
        <v>81756</v>
      </c>
      <c r="L527" s="298">
        <v>12852</v>
      </c>
      <c r="M527" s="299">
        <v>11817</v>
      </c>
      <c r="N527" s="298">
        <v>91324</v>
      </c>
      <c r="O527" s="299">
        <v>87342</v>
      </c>
      <c r="P527" s="601">
        <f t="shared" si="159"/>
        <v>182890</v>
      </c>
      <c r="Q527" s="602">
        <f t="shared" si="160"/>
        <v>6096.333333333333</v>
      </c>
      <c r="R527" s="603">
        <f t="shared" si="161"/>
        <v>180915</v>
      </c>
      <c r="S527" s="604">
        <f t="shared" si="162"/>
        <v>6030.5</v>
      </c>
      <c r="T527" s="298">
        <v>0</v>
      </c>
      <c r="U527" s="299">
        <v>0</v>
      </c>
      <c r="V527" s="601">
        <f t="shared" si="163"/>
        <v>182890</v>
      </c>
      <c r="W527" s="605">
        <f t="shared" si="164"/>
        <v>180915</v>
      </c>
      <c r="X527" s="305"/>
      <c r="Y527" s="299"/>
      <c r="Z527" s="298"/>
      <c r="AA527" s="299"/>
      <c r="AB527" s="298"/>
      <c r="AC527" s="299"/>
      <c r="AD527" s="298"/>
      <c r="AE527" s="299"/>
      <c r="AF527" s="601">
        <f t="shared" si="165"/>
        <v>0</v>
      </c>
      <c r="AG527" s="602">
        <f t="shared" si="166"/>
        <v>0</v>
      </c>
      <c r="AH527" s="603">
        <f t="shared" si="167"/>
        <v>0</v>
      </c>
      <c r="AI527" s="603">
        <f t="shared" si="168"/>
        <v>0</v>
      </c>
      <c r="AJ527" s="298"/>
      <c r="AK527" s="299"/>
      <c r="AL527" s="601">
        <f t="shared" si="169"/>
        <v>0</v>
      </c>
      <c r="AM527" s="604">
        <f t="shared" si="170"/>
        <v>0</v>
      </c>
      <c r="AN527" s="306"/>
      <c r="AO527" s="307"/>
      <c r="AP527" s="298">
        <v>13362</v>
      </c>
      <c r="AQ527" s="440">
        <v>11686</v>
      </c>
      <c r="AR527" s="298">
        <v>6837</v>
      </c>
      <c r="AS527" s="440">
        <v>5543</v>
      </c>
      <c r="AT527" s="298">
        <v>12283</v>
      </c>
      <c r="AU527" s="440">
        <v>10825</v>
      </c>
      <c r="AV527" s="601">
        <f t="shared" si="171"/>
        <v>32482</v>
      </c>
      <c r="AW527" s="609">
        <f t="shared" si="172"/>
        <v>1353.4166666666667</v>
      </c>
      <c r="AX527" s="603">
        <f t="shared" si="173"/>
        <v>28054</v>
      </c>
      <c r="AY527" s="610">
        <f t="shared" si="174"/>
        <v>1168.9166666666667</v>
      </c>
      <c r="AZ527" s="611">
        <f t="shared" si="175"/>
        <v>7449.75</v>
      </c>
      <c r="BA527" s="603">
        <f t="shared" si="176"/>
        <v>7199.416666666667</v>
      </c>
    </row>
    <row r="528" spans="1:53">
      <c r="A528" s="429" t="s">
        <v>33</v>
      </c>
      <c r="B528" s="371" t="s">
        <v>549</v>
      </c>
      <c r="C528" s="443"/>
      <c r="D528" s="369">
        <v>227881</v>
      </c>
      <c r="E528" s="369">
        <v>3</v>
      </c>
      <c r="F528" s="296" t="s">
        <v>52</v>
      </c>
      <c r="G528" s="297" t="s">
        <v>52</v>
      </c>
      <c r="H528" s="298"/>
      <c r="I528" s="299"/>
      <c r="J528" s="298">
        <v>171757</v>
      </c>
      <c r="K528" s="299">
        <v>177518</v>
      </c>
      <c r="L528" s="298">
        <v>39803</v>
      </c>
      <c r="M528" s="299">
        <v>37775</v>
      </c>
      <c r="N528" s="298">
        <v>189475</v>
      </c>
      <c r="O528" s="299">
        <v>188617</v>
      </c>
      <c r="P528" s="601">
        <f t="shared" si="159"/>
        <v>401035</v>
      </c>
      <c r="Q528" s="602">
        <f t="shared" si="160"/>
        <v>13367.833333333334</v>
      </c>
      <c r="R528" s="603">
        <f t="shared" si="161"/>
        <v>403910</v>
      </c>
      <c r="S528" s="604">
        <f t="shared" si="162"/>
        <v>13463.666666666666</v>
      </c>
      <c r="T528" s="298">
        <v>0</v>
      </c>
      <c r="U528" s="299">
        <v>0</v>
      </c>
      <c r="V528" s="601">
        <f t="shared" si="163"/>
        <v>401035</v>
      </c>
      <c r="W528" s="605">
        <f t="shared" si="164"/>
        <v>403910</v>
      </c>
      <c r="X528" s="305"/>
      <c r="Y528" s="299"/>
      <c r="Z528" s="298"/>
      <c r="AA528" s="299"/>
      <c r="AB528" s="298"/>
      <c r="AC528" s="299"/>
      <c r="AD528" s="298"/>
      <c r="AE528" s="299"/>
      <c r="AF528" s="601">
        <f t="shared" si="165"/>
        <v>0</v>
      </c>
      <c r="AG528" s="602">
        <f t="shared" si="166"/>
        <v>0</v>
      </c>
      <c r="AH528" s="603">
        <f t="shared" si="167"/>
        <v>0</v>
      </c>
      <c r="AI528" s="603">
        <f t="shared" si="168"/>
        <v>0</v>
      </c>
      <c r="AJ528" s="298"/>
      <c r="AK528" s="299"/>
      <c r="AL528" s="601">
        <f t="shared" si="169"/>
        <v>0</v>
      </c>
      <c r="AM528" s="604">
        <f t="shared" si="170"/>
        <v>0</v>
      </c>
      <c r="AN528" s="306"/>
      <c r="AO528" s="307"/>
      <c r="AP528" s="298">
        <v>13141</v>
      </c>
      <c r="AQ528" s="440">
        <v>15603</v>
      </c>
      <c r="AR528" s="298">
        <v>13106</v>
      </c>
      <c r="AS528" s="440">
        <v>12900</v>
      </c>
      <c r="AT528" s="298">
        <v>15478</v>
      </c>
      <c r="AU528" s="440">
        <v>14970</v>
      </c>
      <c r="AV528" s="601">
        <f t="shared" si="171"/>
        <v>41725</v>
      </c>
      <c r="AW528" s="609">
        <f t="shared" si="172"/>
        <v>1738.5416666666667</v>
      </c>
      <c r="AX528" s="603">
        <f t="shared" si="173"/>
        <v>43473</v>
      </c>
      <c r="AY528" s="610">
        <f t="shared" si="174"/>
        <v>1811.375</v>
      </c>
      <c r="AZ528" s="611">
        <f t="shared" si="175"/>
        <v>15106.375</v>
      </c>
      <c r="BA528" s="603">
        <f t="shared" si="176"/>
        <v>15275.041666666666</v>
      </c>
    </row>
    <row r="529" spans="1:53">
      <c r="A529" s="429" t="s">
        <v>33</v>
      </c>
      <c r="B529" s="371" t="s">
        <v>550</v>
      </c>
      <c r="C529" s="443"/>
      <c r="D529" s="369">
        <v>228431</v>
      </c>
      <c r="E529" s="369">
        <v>3</v>
      </c>
      <c r="F529" s="296" t="s">
        <v>52</v>
      </c>
      <c r="G529" s="297" t="s">
        <v>52</v>
      </c>
      <c r="H529" s="298"/>
      <c r="I529" s="299"/>
      <c r="J529" s="298">
        <v>132130</v>
      </c>
      <c r="K529" s="299">
        <v>130422</v>
      </c>
      <c r="L529" s="298">
        <v>30945</v>
      </c>
      <c r="M529" s="299">
        <v>29504</v>
      </c>
      <c r="N529" s="298">
        <v>141614</v>
      </c>
      <c r="O529" s="299">
        <v>142610</v>
      </c>
      <c r="P529" s="601">
        <f t="shared" si="159"/>
        <v>304689</v>
      </c>
      <c r="Q529" s="602">
        <f t="shared" si="160"/>
        <v>10156.299999999999</v>
      </c>
      <c r="R529" s="603">
        <f t="shared" si="161"/>
        <v>302536</v>
      </c>
      <c r="S529" s="604">
        <f t="shared" si="162"/>
        <v>10084.533333333333</v>
      </c>
      <c r="T529" s="298">
        <v>1947</v>
      </c>
      <c r="U529" s="299">
        <v>1909</v>
      </c>
      <c r="V529" s="601">
        <f t="shared" si="163"/>
        <v>304689</v>
      </c>
      <c r="W529" s="605">
        <f t="shared" si="164"/>
        <v>302536</v>
      </c>
      <c r="X529" s="305"/>
      <c r="Y529" s="299"/>
      <c r="Z529" s="298"/>
      <c r="AA529" s="299"/>
      <c r="AB529" s="298"/>
      <c r="AC529" s="299"/>
      <c r="AD529" s="298"/>
      <c r="AE529" s="299"/>
      <c r="AF529" s="601">
        <f t="shared" si="165"/>
        <v>0</v>
      </c>
      <c r="AG529" s="602">
        <f t="shared" si="166"/>
        <v>0</v>
      </c>
      <c r="AH529" s="603">
        <f t="shared" si="167"/>
        <v>0</v>
      </c>
      <c r="AI529" s="603">
        <f t="shared" si="168"/>
        <v>0</v>
      </c>
      <c r="AJ529" s="298"/>
      <c r="AK529" s="299"/>
      <c r="AL529" s="601">
        <f t="shared" si="169"/>
        <v>0</v>
      </c>
      <c r="AM529" s="604">
        <f t="shared" si="170"/>
        <v>0</v>
      </c>
      <c r="AN529" s="306"/>
      <c r="AO529" s="307"/>
      <c r="AP529" s="298">
        <v>10430</v>
      </c>
      <c r="AQ529" s="440">
        <v>9342</v>
      </c>
      <c r="AR529" s="298">
        <v>7093</v>
      </c>
      <c r="AS529" s="440">
        <v>5498</v>
      </c>
      <c r="AT529" s="298">
        <v>10190</v>
      </c>
      <c r="AU529" s="440">
        <v>9410</v>
      </c>
      <c r="AV529" s="601">
        <f t="shared" si="171"/>
        <v>27713</v>
      </c>
      <c r="AW529" s="609">
        <f t="shared" si="172"/>
        <v>1154.7083333333333</v>
      </c>
      <c r="AX529" s="603">
        <f t="shared" si="173"/>
        <v>24250</v>
      </c>
      <c r="AY529" s="610">
        <f t="shared" si="174"/>
        <v>1010.4166666666666</v>
      </c>
      <c r="AZ529" s="611">
        <f t="shared" si="175"/>
        <v>11311.008333333333</v>
      </c>
      <c r="BA529" s="603">
        <f t="shared" si="176"/>
        <v>11094.949999999999</v>
      </c>
    </row>
    <row r="530" spans="1:53">
      <c r="A530" s="429" t="s">
        <v>33</v>
      </c>
      <c r="B530" s="371" t="s">
        <v>551</v>
      </c>
      <c r="C530" s="443"/>
      <c r="D530" s="369">
        <v>228501</v>
      </c>
      <c r="E530" s="369">
        <v>3</v>
      </c>
      <c r="F530" s="296" t="s">
        <v>52</v>
      </c>
      <c r="G530" s="297" t="s">
        <v>52</v>
      </c>
      <c r="H530" s="298"/>
      <c r="I530" s="299"/>
      <c r="J530" s="298">
        <v>15822</v>
      </c>
      <c r="K530" s="299">
        <v>16529</v>
      </c>
      <c r="L530" s="298">
        <v>3102</v>
      </c>
      <c r="M530" s="299">
        <v>2873</v>
      </c>
      <c r="N530" s="298">
        <v>18002</v>
      </c>
      <c r="O530" s="299">
        <v>18435</v>
      </c>
      <c r="P530" s="601">
        <f t="shared" si="159"/>
        <v>36926</v>
      </c>
      <c r="Q530" s="602">
        <f t="shared" si="160"/>
        <v>1230.8666666666666</v>
      </c>
      <c r="R530" s="603">
        <f t="shared" si="161"/>
        <v>37837</v>
      </c>
      <c r="S530" s="604">
        <f t="shared" si="162"/>
        <v>1261.2333333333333</v>
      </c>
      <c r="T530" s="298">
        <v>865</v>
      </c>
      <c r="U530" s="299">
        <v>784</v>
      </c>
      <c r="V530" s="601">
        <f t="shared" si="163"/>
        <v>36926</v>
      </c>
      <c r="W530" s="605">
        <f t="shared" si="164"/>
        <v>37837</v>
      </c>
      <c r="X530" s="305"/>
      <c r="Y530" s="299"/>
      <c r="Z530" s="298"/>
      <c r="AA530" s="299"/>
      <c r="AB530" s="298"/>
      <c r="AC530" s="299"/>
      <c r="AD530" s="298"/>
      <c r="AE530" s="299"/>
      <c r="AF530" s="601">
        <f t="shared" si="165"/>
        <v>0</v>
      </c>
      <c r="AG530" s="602">
        <f t="shared" si="166"/>
        <v>0</v>
      </c>
      <c r="AH530" s="603">
        <f t="shared" si="167"/>
        <v>0</v>
      </c>
      <c r="AI530" s="603">
        <f t="shared" si="168"/>
        <v>0</v>
      </c>
      <c r="AJ530" s="298"/>
      <c r="AK530" s="299"/>
      <c r="AL530" s="601">
        <f t="shared" si="169"/>
        <v>0</v>
      </c>
      <c r="AM530" s="604">
        <f t="shared" si="170"/>
        <v>0</v>
      </c>
      <c r="AN530" s="306"/>
      <c r="AO530" s="307"/>
      <c r="AP530" s="298">
        <v>3181</v>
      </c>
      <c r="AQ530" s="440">
        <v>3306</v>
      </c>
      <c r="AR530" s="298">
        <v>2912</v>
      </c>
      <c r="AS530" s="440">
        <v>2559</v>
      </c>
      <c r="AT530" s="298">
        <v>3171</v>
      </c>
      <c r="AU530" s="440">
        <v>3122</v>
      </c>
      <c r="AV530" s="601">
        <f t="shared" si="171"/>
        <v>9264</v>
      </c>
      <c r="AW530" s="609">
        <f t="shared" si="172"/>
        <v>386</v>
      </c>
      <c r="AX530" s="603">
        <f t="shared" si="173"/>
        <v>8987</v>
      </c>
      <c r="AY530" s="610">
        <f t="shared" si="174"/>
        <v>374.45833333333331</v>
      </c>
      <c r="AZ530" s="611">
        <f t="shared" si="175"/>
        <v>1616.8666666666666</v>
      </c>
      <c r="BA530" s="603">
        <f t="shared" si="176"/>
        <v>1635.6916666666666</v>
      </c>
    </row>
    <row r="531" spans="1:53">
      <c r="A531" s="429" t="s">
        <v>33</v>
      </c>
      <c r="B531" s="371" t="s">
        <v>552</v>
      </c>
      <c r="C531" s="443"/>
      <c r="D531" s="369">
        <v>228529</v>
      </c>
      <c r="E531" s="369">
        <v>3</v>
      </c>
      <c r="F531" s="296" t="s">
        <v>52</v>
      </c>
      <c r="G531" s="297" t="s">
        <v>52</v>
      </c>
      <c r="H531" s="298"/>
      <c r="I531" s="299"/>
      <c r="J531" s="298">
        <v>80717</v>
      </c>
      <c r="K531" s="299">
        <v>86497</v>
      </c>
      <c r="L531" s="298">
        <v>21524</v>
      </c>
      <c r="M531" s="299">
        <v>23214</v>
      </c>
      <c r="N531" s="298">
        <v>93967</v>
      </c>
      <c r="O531" s="299">
        <v>101496</v>
      </c>
      <c r="P531" s="601">
        <f t="shared" si="159"/>
        <v>196208</v>
      </c>
      <c r="Q531" s="602">
        <f t="shared" si="160"/>
        <v>6540.2666666666664</v>
      </c>
      <c r="R531" s="603">
        <f t="shared" si="161"/>
        <v>211207</v>
      </c>
      <c r="S531" s="604">
        <f t="shared" si="162"/>
        <v>7040.2333333333336</v>
      </c>
      <c r="T531" s="298">
        <v>0</v>
      </c>
      <c r="U531" s="299">
        <v>0</v>
      </c>
      <c r="V531" s="601">
        <f t="shared" si="163"/>
        <v>196208</v>
      </c>
      <c r="W531" s="605">
        <f t="shared" si="164"/>
        <v>211207</v>
      </c>
      <c r="X531" s="305"/>
      <c r="Y531" s="299"/>
      <c r="Z531" s="298"/>
      <c r="AA531" s="299"/>
      <c r="AB531" s="298"/>
      <c r="AC531" s="299"/>
      <c r="AD531" s="298"/>
      <c r="AE531" s="299"/>
      <c r="AF531" s="601">
        <f t="shared" si="165"/>
        <v>0</v>
      </c>
      <c r="AG531" s="602">
        <f t="shared" si="166"/>
        <v>0</v>
      </c>
      <c r="AH531" s="603">
        <f t="shared" si="167"/>
        <v>0</v>
      </c>
      <c r="AI531" s="603">
        <f t="shared" si="168"/>
        <v>0</v>
      </c>
      <c r="AJ531" s="298"/>
      <c r="AK531" s="299"/>
      <c r="AL531" s="601">
        <f t="shared" si="169"/>
        <v>0</v>
      </c>
      <c r="AM531" s="604">
        <f t="shared" si="170"/>
        <v>0</v>
      </c>
      <c r="AN531" s="306"/>
      <c r="AO531" s="307"/>
      <c r="AP531" s="298">
        <v>6995</v>
      </c>
      <c r="AQ531" s="440">
        <v>7866</v>
      </c>
      <c r="AR531" s="298">
        <v>6211</v>
      </c>
      <c r="AS531" s="440">
        <v>6390</v>
      </c>
      <c r="AT531" s="298">
        <v>8033</v>
      </c>
      <c r="AU531" s="440">
        <v>8184</v>
      </c>
      <c r="AV531" s="601">
        <f t="shared" si="171"/>
        <v>21239</v>
      </c>
      <c r="AW531" s="609">
        <f t="shared" si="172"/>
        <v>884.95833333333337</v>
      </c>
      <c r="AX531" s="603">
        <f t="shared" si="173"/>
        <v>22440</v>
      </c>
      <c r="AY531" s="610">
        <f t="shared" si="174"/>
        <v>935</v>
      </c>
      <c r="AZ531" s="611">
        <f t="shared" si="175"/>
        <v>7425.2249999999995</v>
      </c>
      <c r="BA531" s="603">
        <f t="shared" si="176"/>
        <v>7975.2333333333336</v>
      </c>
    </row>
    <row r="532" spans="1:53">
      <c r="A532" s="429" t="s">
        <v>33</v>
      </c>
      <c r="B532" s="371" t="s">
        <v>553</v>
      </c>
      <c r="C532" s="443"/>
      <c r="D532" s="369">
        <v>226152</v>
      </c>
      <c r="E532" s="369">
        <v>3</v>
      </c>
      <c r="F532" s="296" t="s">
        <v>52</v>
      </c>
      <c r="G532" s="297" t="s">
        <v>52</v>
      </c>
      <c r="H532" s="298"/>
      <c r="I532" s="299"/>
      <c r="J532" s="298">
        <v>54326</v>
      </c>
      <c r="K532" s="299">
        <v>59699</v>
      </c>
      <c r="L532" s="298">
        <v>16808</v>
      </c>
      <c r="M532" s="299">
        <v>16480</v>
      </c>
      <c r="N532" s="298">
        <v>61902</v>
      </c>
      <c r="O532" s="299">
        <v>64682</v>
      </c>
      <c r="P532" s="601">
        <f t="shared" si="159"/>
        <v>133036</v>
      </c>
      <c r="Q532" s="602">
        <f t="shared" si="160"/>
        <v>4434.5333333333338</v>
      </c>
      <c r="R532" s="603">
        <f t="shared" si="161"/>
        <v>140861</v>
      </c>
      <c r="S532" s="604">
        <f t="shared" si="162"/>
        <v>4695.3666666666668</v>
      </c>
      <c r="T532" s="298">
        <v>8476</v>
      </c>
      <c r="U532" s="299">
        <v>8904</v>
      </c>
      <c r="V532" s="601">
        <f t="shared" si="163"/>
        <v>133036</v>
      </c>
      <c r="W532" s="605">
        <f t="shared" si="164"/>
        <v>140861</v>
      </c>
      <c r="X532" s="305"/>
      <c r="Y532" s="299"/>
      <c r="Z532" s="298"/>
      <c r="AA532" s="299"/>
      <c r="AB532" s="298"/>
      <c r="AC532" s="299"/>
      <c r="AD532" s="298"/>
      <c r="AE532" s="299"/>
      <c r="AF532" s="601">
        <f t="shared" si="165"/>
        <v>0</v>
      </c>
      <c r="AG532" s="602">
        <f t="shared" si="166"/>
        <v>0</v>
      </c>
      <c r="AH532" s="603">
        <f t="shared" si="167"/>
        <v>0</v>
      </c>
      <c r="AI532" s="603">
        <f t="shared" si="168"/>
        <v>0</v>
      </c>
      <c r="AJ532" s="298"/>
      <c r="AK532" s="299"/>
      <c r="AL532" s="601">
        <f t="shared" si="169"/>
        <v>0</v>
      </c>
      <c r="AM532" s="604">
        <f t="shared" si="170"/>
        <v>0</v>
      </c>
      <c r="AN532" s="306"/>
      <c r="AO532" s="307"/>
      <c r="AP532" s="298">
        <v>5796</v>
      </c>
      <c r="AQ532" s="440">
        <v>5379</v>
      </c>
      <c r="AR532" s="298">
        <v>2894</v>
      </c>
      <c r="AS532" s="440">
        <v>2381</v>
      </c>
      <c r="AT532" s="298">
        <v>5530</v>
      </c>
      <c r="AU532" s="440">
        <v>4901</v>
      </c>
      <c r="AV532" s="601">
        <f t="shared" si="171"/>
        <v>14220</v>
      </c>
      <c r="AW532" s="609">
        <f t="shared" si="172"/>
        <v>592.5</v>
      </c>
      <c r="AX532" s="603">
        <f t="shared" si="173"/>
        <v>12661</v>
      </c>
      <c r="AY532" s="610">
        <f t="shared" si="174"/>
        <v>527.54166666666663</v>
      </c>
      <c r="AZ532" s="611">
        <f t="shared" si="175"/>
        <v>5027.0333333333338</v>
      </c>
      <c r="BA532" s="603">
        <f t="shared" si="176"/>
        <v>5222.9083333333338</v>
      </c>
    </row>
    <row r="533" spans="1:53">
      <c r="A533" s="429" t="s">
        <v>33</v>
      </c>
      <c r="B533" s="371" t="s">
        <v>554</v>
      </c>
      <c r="C533" s="443"/>
      <c r="D533" s="369">
        <v>224554</v>
      </c>
      <c r="E533" s="369">
        <v>3</v>
      </c>
      <c r="F533" s="296" t="s">
        <v>52</v>
      </c>
      <c r="G533" s="297" t="s">
        <v>52</v>
      </c>
      <c r="H533" s="298"/>
      <c r="I533" s="299"/>
      <c r="J533" s="298">
        <v>60923</v>
      </c>
      <c r="K533" s="299">
        <v>70278</v>
      </c>
      <c r="L533" s="298">
        <v>16452</v>
      </c>
      <c r="M533" s="299">
        <v>16936</v>
      </c>
      <c r="N533" s="298">
        <v>71753</v>
      </c>
      <c r="O533" s="299">
        <v>77029</v>
      </c>
      <c r="P533" s="601">
        <f t="shared" si="159"/>
        <v>149128</v>
      </c>
      <c r="Q533" s="602">
        <f t="shared" si="160"/>
        <v>4970.9333333333334</v>
      </c>
      <c r="R533" s="603">
        <f t="shared" si="161"/>
        <v>164243</v>
      </c>
      <c r="S533" s="604">
        <f t="shared" si="162"/>
        <v>5474.7666666666664</v>
      </c>
      <c r="T533" s="298">
        <v>582</v>
      </c>
      <c r="U533" s="299">
        <v>1131</v>
      </c>
      <c r="V533" s="601">
        <f t="shared" si="163"/>
        <v>149128</v>
      </c>
      <c r="W533" s="605">
        <f t="shared" si="164"/>
        <v>164243</v>
      </c>
      <c r="X533" s="305"/>
      <c r="Y533" s="299"/>
      <c r="Z533" s="298"/>
      <c r="AA533" s="299"/>
      <c r="AB533" s="298"/>
      <c r="AC533" s="299"/>
      <c r="AD533" s="298"/>
      <c r="AE533" s="299"/>
      <c r="AF533" s="601">
        <f t="shared" si="165"/>
        <v>0</v>
      </c>
      <c r="AG533" s="602">
        <f t="shared" si="166"/>
        <v>0</v>
      </c>
      <c r="AH533" s="603">
        <f t="shared" si="167"/>
        <v>0</v>
      </c>
      <c r="AI533" s="603">
        <f t="shared" si="168"/>
        <v>0</v>
      </c>
      <c r="AJ533" s="298"/>
      <c r="AK533" s="299"/>
      <c r="AL533" s="601">
        <f t="shared" si="169"/>
        <v>0</v>
      </c>
      <c r="AM533" s="604">
        <f t="shared" si="170"/>
        <v>0</v>
      </c>
      <c r="AN533" s="306"/>
      <c r="AO533" s="307"/>
      <c r="AP533" s="298">
        <v>23076</v>
      </c>
      <c r="AQ533" s="440">
        <v>27975</v>
      </c>
      <c r="AR533" s="298">
        <v>17136</v>
      </c>
      <c r="AS533" s="440">
        <v>16018</v>
      </c>
      <c r="AT533" s="298">
        <v>23988</v>
      </c>
      <c r="AU533" s="440">
        <v>26259</v>
      </c>
      <c r="AV533" s="601">
        <f t="shared" si="171"/>
        <v>64200</v>
      </c>
      <c r="AW533" s="609">
        <f t="shared" si="172"/>
        <v>2675</v>
      </c>
      <c r="AX533" s="603">
        <f t="shared" si="173"/>
        <v>70252</v>
      </c>
      <c r="AY533" s="610">
        <f t="shared" si="174"/>
        <v>2927.1666666666665</v>
      </c>
      <c r="AZ533" s="611">
        <f t="shared" si="175"/>
        <v>7645.9333333333334</v>
      </c>
      <c r="BA533" s="603">
        <f t="shared" si="176"/>
        <v>8401.9333333333325</v>
      </c>
    </row>
    <row r="534" spans="1:53">
      <c r="A534" s="429" t="s">
        <v>33</v>
      </c>
      <c r="B534" s="371" t="s">
        <v>555</v>
      </c>
      <c r="C534" s="443"/>
      <c r="D534" s="369">
        <v>224147</v>
      </c>
      <c r="E534" s="369">
        <v>3</v>
      </c>
      <c r="F534" s="296" t="s">
        <v>52</v>
      </c>
      <c r="G534" s="297" t="s">
        <v>52</v>
      </c>
      <c r="H534" s="298"/>
      <c r="I534" s="299"/>
      <c r="J534" s="298">
        <v>86466</v>
      </c>
      <c r="K534" s="299">
        <v>91746</v>
      </c>
      <c r="L534" s="298">
        <v>25254</v>
      </c>
      <c r="M534" s="299">
        <v>26511</v>
      </c>
      <c r="N534" s="298">
        <v>99148</v>
      </c>
      <c r="O534" s="299">
        <v>101133</v>
      </c>
      <c r="P534" s="601">
        <f t="shared" si="159"/>
        <v>210868</v>
      </c>
      <c r="Q534" s="602">
        <f t="shared" si="160"/>
        <v>7028.9333333333334</v>
      </c>
      <c r="R534" s="603">
        <f t="shared" si="161"/>
        <v>219390</v>
      </c>
      <c r="S534" s="604">
        <f t="shared" si="162"/>
        <v>7313</v>
      </c>
      <c r="T534" s="298">
        <v>3</v>
      </c>
      <c r="U534" s="299">
        <v>1388</v>
      </c>
      <c r="V534" s="601">
        <f t="shared" si="163"/>
        <v>210868</v>
      </c>
      <c r="W534" s="605">
        <f t="shared" si="164"/>
        <v>219390</v>
      </c>
      <c r="X534" s="305"/>
      <c r="Y534" s="299"/>
      <c r="Z534" s="298"/>
      <c r="AA534" s="299"/>
      <c r="AB534" s="298"/>
      <c r="AC534" s="299"/>
      <c r="AD534" s="298"/>
      <c r="AE534" s="299"/>
      <c r="AF534" s="601">
        <f t="shared" si="165"/>
        <v>0</v>
      </c>
      <c r="AG534" s="602">
        <f t="shared" si="166"/>
        <v>0</v>
      </c>
      <c r="AH534" s="603">
        <f t="shared" si="167"/>
        <v>0</v>
      </c>
      <c r="AI534" s="603">
        <f t="shared" si="168"/>
        <v>0</v>
      </c>
      <c r="AJ534" s="298"/>
      <c r="AK534" s="299"/>
      <c r="AL534" s="601">
        <f t="shared" si="169"/>
        <v>0</v>
      </c>
      <c r="AM534" s="604">
        <f t="shared" si="170"/>
        <v>0</v>
      </c>
      <c r="AN534" s="306"/>
      <c r="AO534" s="307"/>
      <c r="AP534" s="298">
        <v>11137</v>
      </c>
      <c r="AQ534" s="440">
        <v>11468</v>
      </c>
      <c r="AR534" s="298">
        <v>7774</v>
      </c>
      <c r="AS534" s="440">
        <v>7706</v>
      </c>
      <c r="AT534" s="298">
        <v>12120</v>
      </c>
      <c r="AU534" s="440">
        <v>11520</v>
      </c>
      <c r="AV534" s="601">
        <f t="shared" si="171"/>
        <v>31031</v>
      </c>
      <c r="AW534" s="609">
        <f t="shared" si="172"/>
        <v>1292.9583333333333</v>
      </c>
      <c r="AX534" s="603">
        <f t="shared" si="173"/>
        <v>30694</v>
      </c>
      <c r="AY534" s="610">
        <f t="shared" si="174"/>
        <v>1278.9166666666667</v>
      </c>
      <c r="AZ534" s="611">
        <f t="shared" si="175"/>
        <v>8321.8916666666664</v>
      </c>
      <c r="BA534" s="603">
        <f t="shared" si="176"/>
        <v>8591.9166666666661</v>
      </c>
    </row>
    <row r="535" spans="1:53">
      <c r="A535" s="429" t="s">
        <v>33</v>
      </c>
      <c r="B535" s="371" t="s">
        <v>556</v>
      </c>
      <c r="C535" s="443"/>
      <c r="D535" s="369">
        <v>228705</v>
      </c>
      <c r="E535" s="369">
        <v>3</v>
      </c>
      <c r="F535" s="296" t="s">
        <v>52</v>
      </c>
      <c r="G535" s="297" t="s">
        <v>52</v>
      </c>
      <c r="H535" s="298"/>
      <c r="I535" s="299"/>
      <c r="J535" s="298">
        <v>53523</v>
      </c>
      <c r="K535" s="299">
        <v>59321</v>
      </c>
      <c r="L535" s="298">
        <v>11811</v>
      </c>
      <c r="M535" s="299">
        <v>12071</v>
      </c>
      <c r="N535" s="298">
        <v>65913</v>
      </c>
      <c r="O535" s="299">
        <v>68663</v>
      </c>
      <c r="P535" s="601">
        <f t="shared" si="159"/>
        <v>131247</v>
      </c>
      <c r="Q535" s="602">
        <f t="shared" si="160"/>
        <v>4374.8999999999996</v>
      </c>
      <c r="R535" s="603">
        <f t="shared" si="161"/>
        <v>140055</v>
      </c>
      <c r="S535" s="604">
        <f t="shared" si="162"/>
        <v>4668.5</v>
      </c>
      <c r="T535" s="298">
        <v>911</v>
      </c>
      <c r="U535" s="299">
        <v>2469</v>
      </c>
      <c r="V535" s="601">
        <f t="shared" si="163"/>
        <v>131247</v>
      </c>
      <c r="W535" s="605">
        <f t="shared" si="164"/>
        <v>140055</v>
      </c>
      <c r="X535" s="305"/>
      <c r="Y535" s="299"/>
      <c r="Z535" s="298"/>
      <c r="AA535" s="299"/>
      <c r="AB535" s="298"/>
      <c r="AC535" s="299"/>
      <c r="AD535" s="298"/>
      <c r="AE535" s="299"/>
      <c r="AF535" s="601">
        <f t="shared" si="165"/>
        <v>0</v>
      </c>
      <c r="AG535" s="602">
        <f t="shared" si="166"/>
        <v>0</v>
      </c>
      <c r="AH535" s="603">
        <f t="shared" si="167"/>
        <v>0</v>
      </c>
      <c r="AI535" s="603">
        <f t="shared" si="168"/>
        <v>0</v>
      </c>
      <c r="AJ535" s="298"/>
      <c r="AK535" s="299"/>
      <c r="AL535" s="601">
        <f t="shared" si="169"/>
        <v>0</v>
      </c>
      <c r="AM535" s="604">
        <f t="shared" si="170"/>
        <v>0</v>
      </c>
      <c r="AN535" s="306"/>
      <c r="AO535" s="307"/>
      <c r="AP535" s="298">
        <v>8246</v>
      </c>
      <c r="AQ535" s="440">
        <v>8680</v>
      </c>
      <c r="AR535" s="298">
        <v>4690</v>
      </c>
      <c r="AS535" s="440">
        <v>4529</v>
      </c>
      <c r="AT535" s="298">
        <v>8555</v>
      </c>
      <c r="AU535" s="440">
        <v>8286</v>
      </c>
      <c r="AV535" s="601">
        <f t="shared" si="171"/>
        <v>21491</v>
      </c>
      <c r="AW535" s="609">
        <f t="shared" si="172"/>
        <v>895.45833333333337</v>
      </c>
      <c r="AX535" s="603">
        <f t="shared" si="173"/>
        <v>21495</v>
      </c>
      <c r="AY535" s="610">
        <f t="shared" si="174"/>
        <v>895.625</v>
      </c>
      <c r="AZ535" s="611">
        <f t="shared" si="175"/>
        <v>5270.3583333333327</v>
      </c>
      <c r="BA535" s="603">
        <f t="shared" si="176"/>
        <v>5564.125</v>
      </c>
    </row>
    <row r="536" spans="1:53">
      <c r="A536" s="429" t="s">
        <v>33</v>
      </c>
      <c r="B536" s="371" t="s">
        <v>557</v>
      </c>
      <c r="C536" s="443"/>
      <c r="D536" s="369">
        <v>229063</v>
      </c>
      <c r="E536" s="369">
        <v>3</v>
      </c>
      <c r="F536" s="296" t="s">
        <v>52</v>
      </c>
      <c r="G536" s="297" t="s">
        <v>52</v>
      </c>
      <c r="H536" s="298"/>
      <c r="I536" s="299"/>
      <c r="J536" s="298">
        <v>83704</v>
      </c>
      <c r="K536" s="299">
        <v>79547</v>
      </c>
      <c r="L536" s="298">
        <v>15919</v>
      </c>
      <c r="M536" s="299">
        <v>15051</v>
      </c>
      <c r="N536" s="298">
        <v>88692</v>
      </c>
      <c r="O536" s="299">
        <v>86507</v>
      </c>
      <c r="P536" s="601">
        <f t="shared" si="159"/>
        <v>188315</v>
      </c>
      <c r="Q536" s="602">
        <f t="shared" si="160"/>
        <v>6277.166666666667</v>
      </c>
      <c r="R536" s="603">
        <f t="shared" si="161"/>
        <v>181105</v>
      </c>
      <c r="S536" s="604">
        <f t="shared" si="162"/>
        <v>6036.833333333333</v>
      </c>
      <c r="T536" s="298">
        <v>0</v>
      </c>
      <c r="U536" s="299">
        <v>0</v>
      </c>
      <c r="V536" s="601">
        <f t="shared" si="163"/>
        <v>188315</v>
      </c>
      <c r="W536" s="605">
        <f t="shared" si="164"/>
        <v>181105</v>
      </c>
      <c r="X536" s="305"/>
      <c r="Y536" s="299"/>
      <c r="Z536" s="298"/>
      <c r="AA536" s="299"/>
      <c r="AB536" s="298"/>
      <c r="AC536" s="299"/>
      <c r="AD536" s="298"/>
      <c r="AE536" s="299"/>
      <c r="AF536" s="601">
        <f t="shared" si="165"/>
        <v>0</v>
      </c>
      <c r="AG536" s="602">
        <f t="shared" si="166"/>
        <v>0</v>
      </c>
      <c r="AH536" s="603">
        <f t="shared" si="167"/>
        <v>0</v>
      </c>
      <c r="AI536" s="603">
        <f t="shared" si="168"/>
        <v>0</v>
      </c>
      <c r="AJ536" s="298"/>
      <c r="AK536" s="299"/>
      <c r="AL536" s="601">
        <f t="shared" si="169"/>
        <v>0</v>
      </c>
      <c r="AM536" s="604">
        <f t="shared" si="170"/>
        <v>0</v>
      </c>
      <c r="AN536" s="306"/>
      <c r="AO536" s="307"/>
      <c r="AP536" s="298">
        <v>22455</v>
      </c>
      <c r="AQ536" s="440">
        <v>25298</v>
      </c>
      <c r="AR536" s="298">
        <v>5710</v>
      </c>
      <c r="AS536" s="440">
        <v>6827</v>
      </c>
      <c r="AT536" s="298">
        <v>25441</v>
      </c>
      <c r="AU536" s="440">
        <v>27072</v>
      </c>
      <c r="AV536" s="601">
        <f t="shared" si="171"/>
        <v>53606</v>
      </c>
      <c r="AW536" s="609">
        <f t="shared" si="172"/>
        <v>2233.5833333333335</v>
      </c>
      <c r="AX536" s="603">
        <f t="shared" si="173"/>
        <v>59197</v>
      </c>
      <c r="AY536" s="610">
        <f t="shared" si="174"/>
        <v>2466.5416666666665</v>
      </c>
      <c r="AZ536" s="611">
        <f t="shared" si="175"/>
        <v>8510.75</v>
      </c>
      <c r="BA536" s="603">
        <f t="shared" si="176"/>
        <v>8503.375</v>
      </c>
    </row>
    <row r="537" spans="1:53">
      <c r="A537" s="429" t="s">
        <v>33</v>
      </c>
      <c r="B537" s="371" t="s">
        <v>558</v>
      </c>
      <c r="C537" s="443"/>
      <c r="D537" s="369">
        <v>228459</v>
      </c>
      <c r="E537" s="369">
        <v>3</v>
      </c>
      <c r="F537" s="296" t="s">
        <v>52</v>
      </c>
      <c r="G537" s="297" t="s">
        <v>52</v>
      </c>
      <c r="H537" s="298"/>
      <c r="I537" s="299"/>
      <c r="J537" s="298">
        <v>301995</v>
      </c>
      <c r="K537" s="299">
        <v>321170</v>
      </c>
      <c r="L537" s="298">
        <v>66128</v>
      </c>
      <c r="M537" s="299">
        <v>66826</v>
      </c>
      <c r="N537" s="298">
        <v>343769</v>
      </c>
      <c r="O537" s="299">
        <v>360420</v>
      </c>
      <c r="P537" s="601">
        <f t="shared" si="159"/>
        <v>711892</v>
      </c>
      <c r="Q537" s="602">
        <f t="shared" si="160"/>
        <v>23729.733333333334</v>
      </c>
      <c r="R537" s="603">
        <f t="shared" si="161"/>
        <v>748416</v>
      </c>
      <c r="S537" s="604">
        <f t="shared" si="162"/>
        <v>24947.200000000001</v>
      </c>
      <c r="T537" s="298">
        <v>0</v>
      </c>
      <c r="U537" s="299">
        <v>0</v>
      </c>
      <c r="V537" s="601">
        <f t="shared" si="163"/>
        <v>711892</v>
      </c>
      <c r="W537" s="605">
        <f t="shared" si="164"/>
        <v>748416</v>
      </c>
      <c r="X537" s="305"/>
      <c r="Y537" s="299"/>
      <c r="Z537" s="298"/>
      <c r="AA537" s="299"/>
      <c r="AB537" s="298"/>
      <c r="AC537" s="299"/>
      <c r="AD537" s="298"/>
      <c r="AE537" s="299"/>
      <c r="AF537" s="601">
        <f t="shared" si="165"/>
        <v>0</v>
      </c>
      <c r="AG537" s="602">
        <f t="shared" si="166"/>
        <v>0</v>
      </c>
      <c r="AH537" s="603">
        <f t="shared" si="167"/>
        <v>0</v>
      </c>
      <c r="AI537" s="603">
        <f t="shared" si="168"/>
        <v>0</v>
      </c>
      <c r="AJ537" s="298"/>
      <c r="AK537" s="299"/>
      <c r="AL537" s="601">
        <f t="shared" si="169"/>
        <v>0</v>
      </c>
      <c r="AM537" s="604">
        <f t="shared" si="170"/>
        <v>0</v>
      </c>
      <c r="AN537" s="306"/>
      <c r="AO537" s="307"/>
      <c r="AP537" s="298">
        <v>30569</v>
      </c>
      <c r="AQ537" s="440">
        <v>32041</v>
      </c>
      <c r="AR537" s="298">
        <v>14612</v>
      </c>
      <c r="AS537" s="440">
        <v>13597</v>
      </c>
      <c r="AT537" s="298">
        <v>32865</v>
      </c>
      <c r="AU537" s="440">
        <v>33972</v>
      </c>
      <c r="AV537" s="601">
        <f t="shared" si="171"/>
        <v>78046</v>
      </c>
      <c r="AW537" s="609">
        <f t="shared" si="172"/>
        <v>3251.9166666666665</v>
      </c>
      <c r="AX537" s="603">
        <f t="shared" si="173"/>
        <v>79610</v>
      </c>
      <c r="AY537" s="610">
        <f t="shared" si="174"/>
        <v>3317.0833333333335</v>
      </c>
      <c r="AZ537" s="611">
        <f t="shared" si="175"/>
        <v>26981.65</v>
      </c>
      <c r="BA537" s="603">
        <f t="shared" si="176"/>
        <v>28264.283333333333</v>
      </c>
    </row>
    <row r="538" spans="1:53">
      <c r="A538" s="429" t="s">
        <v>33</v>
      </c>
      <c r="B538" s="371" t="s">
        <v>559</v>
      </c>
      <c r="C538" s="443"/>
      <c r="D538" s="369">
        <v>225414</v>
      </c>
      <c r="E538" s="369">
        <v>3</v>
      </c>
      <c r="F538" s="296" t="s">
        <v>52</v>
      </c>
      <c r="G538" s="297" t="s">
        <v>52</v>
      </c>
      <c r="H538" s="298"/>
      <c r="I538" s="299"/>
      <c r="J538" s="298">
        <v>43103</v>
      </c>
      <c r="K538" s="299">
        <v>45981</v>
      </c>
      <c r="L538" s="298">
        <v>14695</v>
      </c>
      <c r="M538" s="299">
        <v>14140</v>
      </c>
      <c r="N538" s="298">
        <v>45702</v>
      </c>
      <c r="O538" s="299">
        <v>46189</v>
      </c>
      <c r="P538" s="601">
        <f t="shared" si="159"/>
        <v>103500</v>
      </c>
      <c r="Q538" s="602">
        <f t="shared" si="160"/>
        <v>3450</v>
      </c>
      <c r="R538" s="603">
        <f t="shared" si="161"/>
        <v>106310</v>
      </c>
      <c r="S538" s="604">
        <f t="shared" si="162"/>
        <v>3543.6666666666665</v>
      </c>
      <c r="T538" s="298">
        <v>0</v>
      </c>
      <c r="U538" s="299">
        <v>0</v>
      </c>
      <c r="V538" s="601">
        <f t="shared" si="163"/>
        <v>103500</v>
      </c>
      <c r="W538" s="605">
        <f t="shared" si="164"/>
        <v>106310</v>
      </c>
      <c r="X538" s="305"/>
      <c r="Y538" s="299"/>
      <c r="Z538" s="298"/>
      <c r="AA538" s="299"/>
      <c r="AB538" s="298"/>
      <c r="AC538" s="299"/>
      <c r="AD538" s="298"/>
      <c r="AE538" s="299"/>
      <c r="AF538" s="601">
        <f t="shared" si="165"/>
        <v>0</v>
      </c>
      <c r="AG538" s="602">
        <f t="shared" si="166"/>
        <v>0</v>
      </c>
      <c r="AH538" s="603">
        <f t="shared" si="167"/>
        <v>0</v>
      </c>
      <c r="AI538" s="603">
        <f t="shared" si="168"/>
        <v>0</v>
      </c>
      <c r="AJ538" s="298"/>
      <c r="AK538" s="299"/>
      <c r="AL538" s="601">
        <f t="shared" si="169"/>
        <v>0</v>
      </c>
      <c r="AM538" s="604">
        <f t="shared" si="170"/>
        <v>0</v>
      </c>
      <c r="AN538" s="306"/>
      <c r="AO538" s="307"/>
      <c r="AP538" s="298">
        <v>21768</v>
      </c>
      <c r="AQ538" s="440">
        <v>21880</v>
      </c>
      <c r="AR538" s="298">
        <v>9400</v>
      </c>
      <c r="AS538" s="440">
        <v>9328</v>
      </c>
      <c r="AT538" s="298">
        <v>22279</v>
      </c>
      <c r="AU538" s="440">
        <v>22596</v>
      </c>
      <c r="AV538" s="601">
        <f t="shared" si="171"/>
        <v>53447</v>
      </c>
      <c r="AW538" s="609">
        <f t="shared" si="172"/>
        <v>2226.9583333333335</v>
      </c>
      <c r="AX538" s="603">
        <f t="shared" si="173"/>
        <v>53804</v>
      </c>
      <c r="AY538" s="610">
        <f t="shared" si="174"/>
        <v>2241.8333333333335</v>
      </c>
      <c r="AZ538" s="611">
        <f t="shared" si="175"/>
        <v>5676.9583333333339</v>
      </c>
      <c r="BA538" s="603">
        <f t="shared" si="176"/>
        <v>5785.5</v>
      </c>
    </row>
    <row r="539" spans="1:53">
      <c r="A539" s="429" t="s">
        <v>33</v>
      </c>
      <c r="B539" s="444" t="s">
        <v>560</v>
      </c>
      <c r="C539" s="443"/>
      <c r="D539" s="369">
        <v>227377</v>
      </c>
      <c r="E539" s="445">
        <v>3</v>
      </c>
      <c r="F539" s="296" t="s">
        <v>52</v>
      </c>
      <c r="G539" s="297" t="s">
        <v>52</v>
      </c>
      <c r="H539" s="298"/>
      <c r="I539" s="299"/>
      <c r="J539" s="298">
        <v>37074</v>
      </c>
      <c r="K539" s="299">
        <v>38999</v>
      </c>
      <c r="L539" s="298">
        <v>12864</v>
      </c>
      <c r="M539" s="299">
        <v>12697</v>
      </c>
      <c r="N539" s="298">
        <v>46743</v>
      </c>
      <c r="O539" s="299">
        <v>51008</v>
      </c>
      <c r="P539" s="601">
        <f t="shared" si="159"/>
        <v>96681</v>
      </c>
      <c r="Q539" s="602">
        <f t="shared" si="160"/>
        <v>3222.7</v>
      </c>
      <c r="R539" s="603">
        <f t="shared" si="161"/>
        <v>102704</v>
      </c>
      <c r="S539" s="604">
        <f t="shared" si="162"/>
        <v>3423.4666666666667</v>
      </c>
      <c r="T539" s="298">
        <v>6913</v>
      </c>
      <c r="U539" s="299">
        <v>7547</v>
      </c>
      <c r="V539" s="601">
        <f t="shared" si="163"/>
        <v>96681</v>
      </c>
      <c r="W539" s="605">
        <f t="shared" si="164"/>
        <v>102704</v>
      </c>
      <c r="X539" s="305"/>
      <c r="Y539" s="299"/>
      <c r="Z539" s="298"/>
      <c r="AA539" s="299"/>
      <c r="AB539" s="298"/>
      <c r="AC539" s="299"/>
      <c r="AD539" s="298"/>
      <c r="AE539" s="299"/>
      <c r="AF539" s="601">
        <f t="shared" si="165"/>
        <v>0</v>
      </c>
      <c r="AG539" s="602">
        <f t="shared" si="166"/>
        <v>0</v>
      </c>
      <c r="AH539" s="603">
        <f t="shared" si="167"/>
        <v>0</v>
      </c>
      <c r="AI539" s="603">
        <f t="shared" si="168"/>
        <v>0</v>
      </c>
      <c r="AJ539" s="298"/>
      <c r="AK539" s="299"/>
      <c r="AL539" s="601">
        <f t="shared" si="169"/>
        <v>0</v>
      </c>
      <c r="AM539" s="604">
        <f t="shared" si="170"/>
        <v>0</v>
      </c>
      <c r="AN539" s="306"/>
      <c r="AO539" s="307"/>
      <c r="AP539" s="298">
        <v>4526</v>
      </c>
      <c r="AQ539" s="440">
        <v>5110</v>
      </c>
      <c r="AR539" s="298">
        <v>2832</v>
      </c>
      <c r="AS539" s="440">
        <v>2661</v>
      </c>
      <c r="AT539" s="298">
        <v>4999</v>
      </c>
      <c r="AU539" s="440">
        <v>5912</v>
      </c>
      <c r="AV539" s="601">
        <f t="shared" si="171"/>
        <v>12357</v>
      </c>
      <c r="AW539" s="609">
        <f t="shared" si="172"/>
        <v>514.875</v>
      </c>
      <c r="AX539" s="603">
        <f t="shared" si="173"/>
        <v>13683</v>
      </c>
      <c r="AY539" s="610">
        <f t="shared" si="174"/>
        <v>570.125</v>
      </c>
      <c r="AZ539" s="611">
        <f t="shared" si="175"/>
        <v>3737.5749999999998</v>
      </c>
      <c r="BA539" s="603">
        <f t="shared" si="176"/>
        <v>3993.5916666666667</v>
      </c>
    </row>
    <row r="540" spans="1:53">
      <c r="A540" s="429" t="s">
        <v>33</v>
      </c>
      <c r="B540" s="371" t="s">
        <v>561</v>
      </c>
      <c r="C540" s="443"/>
      <c r="D540" s="369">
        <v>228802</v>
      </c>
      <c r="E540" s="369">
        <v>3</v>
      </c>
      <c r="F540" s="296" t="s">
        <v>52</v>
      </c>
      <c r="G540" s="297" t="s">
        <v>52</v>
      </c>
      <c r="H540" s="298"/>
      <c r="I540" s="299"/>
      <c r="J540" s="298">
        <v>56572</v>
      </c>
      <c r="K540" s="299">
        <v>56557</v>
      </c>
      <c r="L540" s="298">
        <v>8002</v>
      </c>
      <c r="M540" s="299">
        <v>8668</v>
      </c>
      <c r="N540" s="298">
        <v>60461</v>
      </c>
      <c r="O540" s="299">
        <v>61301</v>
      </c>
      <c r="P540" s="601">
        <f t="shared" si="159"/>
        <v>125035</v>
      </c>
      <c r="Q540" s="602">
        <f t="shared" si="160"/>
        <v>4167.833333333333</v>
      </c>
      <c r="R540" s="603">
        <f t="shared" si="161"/>
        <v>126526</v>
      </c>
      <c r="S540" s="604">
        <f t="shared" si="162"/>
        <v>4217.5333333333338</v>
      </c>
      <c r="T540" s="298">
        <v>0</v>
      </c>
      <c r="U540" s="299">
        <v>0</v>
      </c>
      <c r="V540" s="601">
        <f t="shared" si="163"/>
        <v>125035</v>
      </c>
      <c r="W540" s="605">
        <f t="shared" si="164"/>
        <v>126526</v>
      </c>
      <c r="X540" s="305"/>
      <c r="Y540" s="299"/>
      <c r="Z540" s="298"/>
      <c r="AA540" s="299"/>
      <c r="AB540" s="298"/>
      <c r="AC540" s="299"/>
      <c r="AD540" s="298"/>
      <c r="AE540" s="299"/>
      <c r="AF540" s="601">
        <f t="shared" si="165"/>
        <v>0</v>
      </c>
      <c r="AG540" s="602">
        <f t="shared" si="166"/>
        <v>0</v>
      </c>
      <c r="AH540" s="603">
        <f t="shared" si="167"/>
        <v>0</v>
      </c>
      <c r="AI540" s="603">
        <f t="shared" si="168"/>
        <v>0</v>
      </c>
      <c r="AJ540" s="298"/>
      <c r="AK540" s="299"/>
      <c r="AL540" s="601">
        <f t="shared" si="169"/>
        <v>0</v>
      </c>
      <c r="AM540" s="604">
        <f t="shared" si="170"/>
        <v>0</v>
      </c>
      <c r="AN540" s="306"/>
      <c r="AO540" s="307"/>
      <c r="AP540" s="298">
        <v>6820</v>
      </c>
      <c r="AQ540" s="440">
        <v>8571</v>
      </c>
      <c r="AR540" s="298">
        <v>4034</v>
      </c>
      <c r="AS540" s="440">
        <v>5098</v>
      </c>
      <c r="AT540" s="298">
        <v>8246</v>
      </c>
      <c r="AU540" s="440">
        <v>9792</v>
      </c>
      <c r="AV540" s="601">
        <f t="shared" si="171"/>
        <v>19100</v>
      </c>
      <c r="AW540" s="609">
        <f t="shared" si="172"/>
        <v>795.83333333333337</v>
      </c>
      <c r="AX540" s="603">
        <f t="shared" si="173"/>
        <v>23461</v>
      </c>
      <c r="AY540" s="610">
        <f t="shared" si="174"/>
        <v>977.54166666666663</v>
      </c>
      <c r="AZ540" s="611">
        <f t="shared" si="175"/>
        <v>4963.6666666666661</v>
      </c>
      <c r="BA540" s="603">
        <f t="shared" si="176"/>
        <v>5195.0750000000007</v>
      </c>
    </row>
    <row r="541" spans="1:53">
      <c r="A541" s="429" t="s">
        <v>33</v>
      </c>
      <c r="B541" s="444" t="s">
        <v>566</v>
      </c>
      <c r="C541" s="487" t="s">
        <v>722</v>
      </c>
      <c r="D541" s="369">
        <v>229018</v>
      </c>
      <c r="E541" s="488">
        <v>3</v>
      </c>
      <c r="F541" s="296" t="s">
        <v>52</v>
      </c>
      <c r="G541" s="297" t="s">
        <v>52</v>
      </c>
      <c r="H541" s="298"/>
      <c r="I541" s="299"/>
      <c r="J541" s="298">
        <v>30827</v>
      </c>
      <c r="K541" s="299">
        <v>33947</v>
      </c>
      <c r="L541" s="298">
        <v>6945</v>
      </c>
      <c r="M541" s="299">
        <v>7048</v>
      </c>
      <c r="N541" s="298">
        <v>36240</v>
      </c>
      <c r="O541" s="299">
        <v>35149</v>
      </c>
      <c r="P541" s="601">
        <f t="shared" si="159"/>
        <v>74012</v>
      </c>
      <c r="Q541" s="602">
        <f t="shared" si="160"/>
        <v>2467.0666666666666</v>
      </c>
      <c r="R541" s="603">
        <f t="shared" si="161"/>
        <v>76144</v>
      </c>
      <c r="S541" s="604">
        <f t="shared" si="162"/>
        <v>2538.1333333333332</v>
      </c>
      <c r="T541" s="298">
        <v>2679</v>
      </c>
      <c r="U541" s="299">
        <v>3182</v>
      </c>
      <c r="V541" s="601">
        <f t="shared" si="163"/>
        <v>74012</v>
      </c>
      <c r="W541" s="605">
        <f t="shared" si="164"/>
        <v>76144</v>
      </c>
      <c r="X541" s="305"/>
      <c r="Y541" s="299"/>
      <c r="Z541" s="298"/>
      <c r="AA541" s="299"/>
      <c r="AB541" s="298"/>
      <c r="AC541" s="299"/>
      <c r="AD541" s="298"/>
      <c r="AE541" s="299"/>
      <c r="AF541" s="601">
        <f t="shared" si="165"/>
        <v>0</v>
      </c>
      <c r="AG541" s="602">
        <f t="shared" si="166"/>
        <v>0</v>
      </c>
      <c r="AH541" s="603">
        <f t="shared" si="167"/>
        <v>0</v>
      </c>
      <c r="AI541" s="603">
        <f t="shared" si="168"/>
        <v>0</v>
      </c>
      <c r="AJ541" s="298"/>
      <c r="AK541" s="299"/>
      <c r="AL541" s="601">
        <f t="shared" si="169"/>
        <v>0</v>
      </c>
      <c r="AM541" s="604">
        <f t="shared" si="170"/>
        <v>0</v>
      </c>
      <c r="AN541" s="306"/>
      <c r="AO541" s="307"/>
      <c r="AP541" s="298">
        <v>3452</v>
      </c>
      <c r="AQ541" s="440">
        <v>3361</v>
      </c>
      <c r="AR541" s="298">
        <v>2658</v>
      </c>
      <c r="AS541" s="440">
        <v>2402</v>
      </c>
      <c r="AT541" s="298">
        <v>3919</v>
      </c>
      <c r="AU541" s="440">
        <v>3148</v>
      </c>
      <c r="AV541" s="601">
        <f t="shared" si="171"/>
        <v>10029</v>
      </c>
      <c r="AW541" s="609">
        <f t="shared" si="172"/>
        <v>417.875</v>
      </c>
      <c r="AX541" s="603">
        <f t="shared" si="173"/>
        <v>8911</v>
      </c>
      <c r="AY541" s="610">
        <f t="shared" si="174"/>
        <v>371.29166666666669</v>
      </c>
      <c r="AZ541" s="611">
        <f t="shared" si="175"/>
        <v>2884.9416666666666</v>
      </c>
      <c r="BA541" s="603">
        <f t="shared" si="176"/>
        <v>2909.4249999999997</v>
      </c>
    </row>
    <row r="542" spans="1:53">
      <c r="A542" s="429" t="s">
        <v>33</v>
      </c>
      <c r="B542" s="371" t="s">
        <v>562</v>
      </c>
      <c r="C542" s="443"/>
      <c r="D542" s="369">
        <v>227368</v>
      </c>
      <c r="E542" s="369">
        <v>3</v>
      </c>
      <c r="F542" s="296" t="s">
        <v>52</v>
      </c>
      <c r="G542" s="297" t="s">
        <v>52</v>
      </c>
      <c r="H542" s="298"/>
      <c r="I542" s="299"/>
      <c r="J542" s="298">
        <v>169654</v>
      </c>
      <c r="K542" s="299">
        <v>172535</v>
      </c>
      <c r="L542" s="298">
        <v>75680</v>
      </c>
      <c r="M542" s="299">
        <v>71749</v>
      </c>
      <c r="N542" s="298">
        <v>187489</v>
      </c>
      <c r="O542" s="299">
        <v>190475</v>
      </c>
      <c r="P542" s="601">
        <f t="shared" si="159"/>
        <v>432823</v>
      </c>
      <c r="Q542" s="602">
        <f t="shared" si="160"/>
        <v>14427.433333333332</v>
      </c>
      <c r="R542" s="603">
        <f t="shared" si="161"/>
        <v>434759</v>
      </c>
      <c r="S542" s="604">
        <f t="shared" si="162"/>
        <v>14491.966666666667</v>
      </c>
      <c r="T542" s="298">
        <v>5431</v>
      </c>
      <c r="U542" s="299">
        <v>4352</v>
      </c>
      <c r="V542" s="601">
        <f t="shared" si="163"/>
        <v>432823</v>
      </c>
      <c r="W542" s="605">
        <f t="shared" si="164"/>
        <v>434759</v>
      </c>
      <c r="X542" s="305"/>
      <c r="Y542" s="299"/>
      <c r="Z542" s="298"/>
      <c r="AA542" s="299"/>
      <c r="AB542" s="298"/>
      <c r="AC542" s="299"/>
      <c r="AD542" s="298"/>
      <c r="AE542" s="299"/>
      <c r="AF542" s="601">
        <f t="shared" si="165"/>
        <v>0</v>
      </c>
      <c r="AG542" s="602">
        <f t="shared" si="166"/>
        <v>0</v>
      </c>
      <c r="AH542" s="603">
        <f t="shared" si="167"/>
        <v>0</v>
      </c>
      <c r="AI542" s="603">
        <f t="shared" si="168"/>
        <v>0</v>
      </c>
      <c r="AJ542" s="298"/>
      <c r="AK542" s="299"/>
      <c r="AL542" s="601">
        <f t="shared" si="169"/>
        <v>0</v>
      </c>
      <c r="AM542" s="604">
        <f t="shared" si="170"/>
        <v>0</v>
      </c>
      <c r="AN542" s="306"/>
      <c r="AO542" s="307"/>
      <c r="AP542" s="298">
        <v>16143</v>
      </c>
      <c r="AQ542" s="440">
        <v>16607</v>
      </c>
      <c r="AR542" s="298">
        <v>9717</v>
      </c>
      <c r="AS542" s="440">
        <v>9136</v>
      </c>
      <c r="AT542" s="298">
        <v>17369</v>
      </c>
      <c r="AU542" s="440">
        <v>17125</v>
      </c>
      <c r="AV542" s="601">
        <f t="shared" si="171"/>
        <v>43229</v>
      </c>
      <c r="AW542" s="609">
        <f t="shared" si="172"/>
        <v>1801.2083333333333</v>
      </c>
      <c r="AX542" s="603">
        <f t="shared" si="173"/>
        <v>42868</v>
      </c>
      <c r="AY542" s="610">
        <f t="shared" si="174"/>
        <v>1786.1666666666667</v>
      </c>
      <c r="AZ542" s="611">
        <f t="shared" si="175"/>
        <v>16228.641666666666</v>
      </c>
      <c r="BA542" s="603">
        <f t="shared" si="176"/>
        <v>16278.133333333333</v>
      </c>
    </row>
    <row r="543" spans="1:53">
      <c r="A543" s="429" t="s">
        <v>33</v>
      </c>
      <c r="B543" s="371" t="s">
        <v>563</v>
      </c>
      <c r="C543" s="443"/>
      <c r="D543" s="369">
        <v>229814</v>
      </c>
      <c r="E543" s="369">
        <v>3</v>
      </c>
      <c r="F543" s="296" t="s">
        <v>52</v>
      </c>
      <c r="G543" s="297" t="s">
        <v>52</v>
      </c>
      <c r="H543" s="298"/>
      <c r="I543" s="299"/>
      <c r="J543" s="298">
        <v>71478</v>
      </c>
      <c r="K543" s="299">
        <v>75667</v>
      </c>
      <c r="L543" s="298">
        <v>14407</v>
      </c>
      <c r="M543" s="299">
        <v>14088</v>
      </c>
      <c r="N543" s="298">
        <v>81865</v>
      </c>
      <c r="O543" s="299">
        <v>82848</v>
      </c>
      <c r="P543" s="601">
        <f t="shared" si="159"/>
        <v>167750</v>
      </c>
      <c r="Q543" s="602">
        <f t="shared" si="160"/>
        <v>5591.666666666667</v>
      </c>
      <c r="R543" s="603">
        <f t="shared" si="161"/>
        <v>172603</v>
      </c>
      <c r="S543" s="604">
        <f t="shared" si="162"/>
        <v>5753.4333333333334</v>
      </c>
      <c r="T543" s="298">
        <v>0</v>
      </c>
      <c r="U543" s="299">
        <v>0</v>
      </c>
      <c r="V543" s="601">
        <f t="shared" si="163"/>
        <v>167750</v>
      </c>
      <c r="W543" s="605">
        <f t="shared" si="164"/>
        <v>172603</v>
      </c>
      <c r="X543" s="305"/>
      <c r="Y543" s="299"/>
      <c r="Z543" s="298"/>
      <c r="AA543" s="299"/>
      <c r="AB543" s="298"/>
      <c r="AC543" s="299"/>
      <c r="AD543" s="298"/>
      <c r="AE543" s="299"/>
      <c r="AF543" s="601">
        <f t="shared" si="165"/>
        <v>0</v>
      </c>
      <c r="AG543" s="602">
        <f t="shared" si="166"/>
        <v>0</v>
      </c>
      <c r="AH543" s="603">
        <f t="shared" si="167"/>
        <v>0</v>
      </c>
      <c r="AI543" s="603">
        <f t="shared" si="168"/>
        <v>0</v>
      </c>
      <c r="AJ543" s="298"/>
      <c r="AK543" s="299"/>
      <c r="AL543" s="601">
        <f t="shared" si="169"/>
        <v>0</v>
      </c>
      <c r="AM543" s="604">
        <f t="shared" si="170"/>
        <v>0</v>
      </c>
      <c r="AN543" s="306"/>
      <c r="AO543" s="307"/>
      <c r="AP543" s="298">
        <v>7354</v>
      </c>
      <c r="AQ543" s="440">
        <v>7627</v>
      </c>
      <c r="AR543" s="298">
        <v>5473</v>
      </c>
      <c r="AS543" s="440">
        <v>4558</v>
      </c>
      <c r="AT543" s="298">
        <v>7442</v>
      </c>
      <c r="AU543" s="440">
        <v>7913</v>
      </c>
      <c r="AV543" s="601">
        <f t="shared" si="171"/>
        <v>20269</v>
      </c>
      <c r="AW543" s="609">
        <f t="shared" si="172"/>
        <v>844.54166666666663</v>
      </c>
      <c r="AX543" s="603">
        <f t="shared" si="173"/>
        <v>20098</v>
      </c>
      <c r="AY543" s="610">
        <f t="shared" si="174"/>
        <v>837.41666666666663</v>
      </c>
      <c r="AZ543" s="611">
        <f t="shared" si="175"/>
        <v>6436.2083333333339</v>
      </c>
      <c r="BA543" s="603">
        <f t="shared" si="176"/>
        <v>6590.85</v>
      </c>
    </row>
    <row r="544" spans="1:53">
      <c r="A544" s="429" t="s">
        <v>33</v>
      </c>
      <c r="B544" s="371" t="s">
        <v>564</v>
      </c>
      <c r="C544" s="443"/>
      <c r="D544" s="369">
        <v>224545</v>
      </c>
      <c r="E544" s="369">
        <v>4</v>
      </c>
      <c r="F544" s="296" t="s">
        <v>52</v>
      </c>
      <c r="G544" s="297" t="s">
        <v>52</v>
      </c>
      <c r="H544" s="298"/>
      <c r="I544" s="299"/>
      <c r="J544" s="298">
        <v>10458</v>
      </c>
      <c r="K544" s="299">
        <v>13019</v>
      </c>
      <c r="L544" s="298">
        <v>3636</v>
      </c>
      <c r="M544" s="299">
        <v>3367</v>
      </c>
      <c r="N544" s="298">
        <v>13187</v>
      </c>
      <c r="O544" s="299">
        <v>16519</v>
      </c>
      <c r="P544" s="601">
        <f t="shared" si="159"/>
        <v>27281</v>
      </c>
      <c r="Q544" s="602">
        <f t="shared" si="160"/>
        <v>909.36666666666667</v>
      </c>
      <c r="R544" s="603">
        <f t="shared" si="161"/>
        <v>32905</v>
      </c>
      <c r="S544" s="604">
        <f t="shared" si="162"/>
        <v>1096.8333333333333</v>
      </c>
      <c r="T544" s="298">
        <v>15</v>
      </c>
      <c r="U544" s="299">
        <v>16</v>
      </c>
      <c r="V544" s="601">
        <f t="shared" si="163"/>
        <v>27281</v>
      </c>
      <c r="W544" s="605">
        <f t="shared" si="164"/>
        <v>32905</v>
      </c>
      <c r="X544" s="305"/>
      <c r="Y544" s="299"/>
      <c r="Z544" s="298"/>
      <c r="AA544" s="299"/>
      <c r="AB544" s="298"/>
      <c r="AC544" s="299"/>
      <c r="AD544" s="298"/>
      <c r="AE544" s="299"/>
      <c r="AF544" s="601">
        <f t="shared" si="165"/>
        <v>0</v>
      </c>
      <c r="AG544" s="602">
        <f t="shared" si="166"/>
        <v>0</v>
      </c>
      <c r="AH544" s="603">
        <f t="shared" si="167"/>
        <v>0</v>
      </c>
      <c r="AI544" s="603">
        <f t="shared" si="168"/>
        <v>0</v>
      </c>
      <c r="AJ544" s="298"/>
      <c r="AK544" s="299"/>
      <c r="AL544" s="601">
        <f t="shared" si="169"/>
        <v>0</v>
      </c>
      <c r="AM544" s="604">
        <f t="shared" si="170"/>
        <v>0</v>
      </c>
      <c r="AN544" s="306"/>
      <c r="AO544" s="307"/>
      <c r="AP544" s="298">
        <v>3108</v>
      </c>
      <c r="AQ544" s="440">
        <v>3203</v>
      </c>
      <c r="AR544" s="298">
        <v>3723</v>
      </c>
      <c r="AS544" s="440">
        <v>1929</v>
      </c>
      <c r="AT544" s="298">
        <v>2890</v>
      </c>
      <c r="AU544" s="440">
        <v>2473</v>
      </c>
      <c r="AV544" s="601">
        <f t="shared" si="171"/>
        <v>9721</v>
      </c>
      <c r="AW544" s="609">
        <f t="shared" si="172"/>
        <v>405.04166666666669</v>
      </c>
      <c r="AX544" s="603">
        <f t="shared" si="173"/>
        <v>7605</v>
      </c>
      <c r="AY544" s="610">
        <f t="shared" si="174"/>
        <v>316.875</v>
      </c>
      <c r="AZ544" s="611">
        <f t="shared" si="175"/>
        <v>1314.4083333333333</v>
      </c>
      <c r="BA544" s="603">
        <f t="shared" si="176"/>
        <v>1413.7083333333333</v>
      </c>
    </row>
    <row r="545" spans="1:53">
      <c r="A545" s="429" t="s">
        <v>33</v>
      </c>
      <c r="B545" s="371" t="s">
        <v>565</v>
      </c>
      <c r="C545" s="443"/>
      <c r="D545" s="369">
        <v>225502</v>
      </c>
      <c r="E545" s="369">
        <v>4</v>
      </c>
      <c r="F545" s="296" t="s">
        <v>52</v>
      </c>
      <c r="G545" s="297" t="s">
        <v>52</v>
      </c>
      <c r="H545" s="298"/>
      <c r="I545" s="299"/>
      <c r="J545" s="298">
        <v>18973</v>
      </c>
      <c r="K545" s="299">
        <v>23743</v>
      </c>
      <c r="L545" s="298">
        <v>8297</v>
      </c>
      <c r="M545" s="299">
        <v>9065</v>
      </c>
      <c r="N545" s="298">
        <v>22413</v>
      </c>
      <c r="O545" s="299">
        <v>25288</v>
      </c>
      <c r="P545" s="601">
        <f t="shared" si="159"/>
        <v>49683</v>
      </c>
      <c r="Q545" s="602">
        <f t="shared" si="160"/>
        <v>1656.1</v>
      </c>
      <c r="R545" s="603">
        <f t="shared" si="161"/>
        <v>58096</v>
      </c>
      <c r="S545" s="604">
        <f t="shared" si="162"/>
        <v>1936.5333333333333</v>
      </c>
      <c r="T545" s="298">
        <v>0</v>
      </c>
      <c r="U545" s="299">
        <v>0</v>
      </c>
      <c r="V545" s="601">
        <f t="shared" si="163"/>
        <v>49683</v>
      </c>
      <c r="W545" s="605">
        <f t="shared" si="164"/>
        <v>58096</v>
      </c>
      <c r="X545" s="305"/>
      <c r="Y545" s="299"/>
      <c r="Z545" s="298"/>
      <c r="AA545" s="299"/>
      <c r="AB545" s="298"/>
      <c r="AC545" s="299"/>
      <c r="AD545" s="298"/>
      <c r="AE545" s="299"/>
      <c r="AF545" s="601">
        <f t="shared" si="165"/>
        <v>0</v>
      </c>
      <c r="AG545" s="602">
        <f t="shared" si="166"/>
        <v>0</v>
      </c>
      <c r="AH545" s="603">
        <f t="shared" si="167"/>
        <v>0</v>
      </c>
      <c r="AI545" s="603">
        <f t="shared" si="168"/>
        <v>0</v>
      </c>
      <c r="AJ545" s="298"/>
      <c r="AK545" s="299"/>
      <c r="AL545" s="601">
        <f t="shared" si="169"/>
        <v>0</v>
      </c>
      <c r="AM545" s="604">
        <f t="shared" si="170"/>
        <v>0</v>
      </c>
      <c r="AN545" s="306"/>
      <c r="AO545" s="307"/>
      <c r="AP545" s="298">
        <v>10260</v>
      </c>
      <c r="AQ545" s="440">
        <v>11076</v>
      </c>
      <c r="AR545" s="298">
        <v>6072</v>
      </c>
      <c r="AS545" s="440">
        <v>5553</v>
      </c>
      <c r="AT545" s="298">
        <v>10854</v>
      </c>
      <c r="AU545" s="440">
        <v>10605</v>
      </c>
      <c r="AV545" s="601">
        <f t="shared" si="171"/>
        <v>27186</v>
      </c>
      <c r="AW545" s="609">
        <f t="shared" si="172"/>
        <v>1132.75</v>
      </c>
      <c r="AX545" s="603">
        <f t="shared" si="173"/>
        <v>27234</v>
      </c>
      <c r="AY545" s="610">
        <f t="shared" si="174"/>
        <v>1134.75</v>
      </c>
      <c r="AZ545" s="611">
        <f t="shared" si="175"/>
        <v>2788.85</v>
      </c>
      <c r="BA545" s="603">
        <f t="shared" si="176"/>
        <v>3071.2833333333333</v>
      </c>
    </row>
    <row r="546" spans="1:53">
      <c r="A546" s="429" t="s">
        <v>33</v>
      </c>
      <c r="B546" s="371" t="s">
        <v>567</v>
      </c>
      <c r="C546" s="443"/>
      <c r="D546" s="369" t="s">
        <v>568</v>
      </c>
      <c r="E546" s="369">
        <v>5</v>
      </c>
      <c r="F546" s="296" t="s">
        <v>52</v>
      </c>
      <c r="G546" s="297" t="s">
        <v>52</v>
      </c>
      <c r="H546" s="298"/>
      <c r="I546" s="299"/>
      <c r="J546" s="298">
        <v>6778</v>
      </c>
      <c r="K546" s="299">
        <v>6668</v>
      </c>
      <c r="L546" s="298">
        <v>3735</v>
      </c>
      <c r="M546" s="299">
        <v>3639</v>
      </c>
      <c r="N546" s="298">
        <v>7082</v>
      </c>
      <c r="O546" s="299">
        <v>6552</v>
      </c>
      <c r="P546" s="601">
        <f t="shared" si="159"/>
        <v>17595</v>
      </c>
      <c r="Q546" s="602">
        <f t="shared" si="160"/>
        <v>586.5</v>
      </c>
      <c r="R546" s="603">
        <f t="shared" si="161"/>
        <v>16859</v>
      </c>
      <c r="S546" s="604">
        <f t="shared" si="162"/>
        <v>561.9666666666667</v>
      </c>
      <c r="T546" s="298">
        <v>0</v>
      </c>
      <c r="U546" s="299">
        <v>0</v>
      </c>
      <c r="V546" s="601">
        <f t="shared" si="163"/>
        <v>17595</v>
      </c>
      <c r="W546" s="605">
        <f t="shared" si="164"/>
        <v>16859</v>
      </c>
      <c r="X546" s="305"/>
      <c r="Y546" s="299"/>
      <c r="Z546" s="298"/>
      <c r="AA546" s="299"/>
      <c r="AB546" s="298"/>
      <c r="AC546" s="299"/>
      <c r="AD546" s="298"/>
      <c r="AE546" s="299"/>
      <c r="AF546" s="601">
        <f t="shared" si="165"/>
        <v>0</v>
      </c>
      <c r="AG546" s="602">
        <f t="shared" si="166"/>
        <v>0</v>
      </c>
      <c r="AH546" s="603">
        <f t="shared" si="167"/>
        <v>0</v>
      </c>
      <c r="AI546" s="603">
        <f t="shared" si="168"/>
        <v>0</v>
      </c>
      <c r="AJ546" s="298"/>
      <c r="AK546" s="299"/>
      <c r="AL546" s="601">
        <f t="shared" si="169"/>
        <v>0</v>
      </c>
      <c r="AM546" s="604">
        <f t="shared" si="170"/>
        <v>0</v>
      </c>
      <c r="AN546" s="306"/>
      <c r="AO546" s="307"/>
      <c r="AP546" s="298">
        <v>1389</v>
      </c>
      <c r="AQ546" s="440">
        <v>1419</v>
      </c>
      <c r="AR546" s="298">
        <v>969</v>
      </c>
      <c r="AS546" s="440">
        <v>789</v>
      </c>
      <c r="AT546" s="298">
        <v>1254</v>
      </c>
      <c r="AU546" s="440">
        <v>1068</v>
      </c>
      <c r="AV546" s="601">
        <f t="shared" si="171"/>
        <v>3612</v>
      </c>
      <c r="AW546" s="609">
        <f t="shared" si="172"/>
        <v>150.5</v>
      </c>
      <c r="AX546" s="603">
        <f t="shared" si="173"/>
        <v>3276</v>
      </c>
      <c r="AY546" s="610">
        <f t="shared" si="174"/>
        <v>136.5</v>
      </c>
      <c r="AZ546" s="611">
        <f t="shared" si="175"/>
        <v>737</v>
      </c>
      <c r="BA546" s="603">
        <f t="shared" si="176"/>
        <v>698.4666666666667</v>
      </c>
    </row>
    <row r="547" spans="1:53">
      <c r="A547" s="429" t="s">
        <v>33</v>
      </c>
      <c r="B547" s="371" t="s">
        <v>569</v>
      </c>
      <c r="C547" s="446"/>
      <c r="D547" s="369">
        <v>225432</v>
      </c>
      <c r="E547" s="369">
        <v>5</v>
      </c>
      <c r="F547" s="296" t="s">
        <v>52</v>
      </c>
      <c r="G547" s="297" t="s">
        <v>52</v>
      </c>
      <c r="H547" s="298"/>
      <c r="I547" s="299"/>
      <c r="J547" s="298">
        <v>112973</v>
      </c>
      <c r="K547" s="299">
        <v>116033</v>
      </c>
      <c r="L547" s="298">
        <v>31928</v>
      </c>
      <c r="M547" s="299">
        <v>31347</v>
      </c>
      <c r="N547" s="298">
        <v>119239</v>
      </c>
      <c r="O547" s="299">
        <v>120657</v>
      </c>
      <c r="P547" s="601">
        <f t="shared" si="159"/>
        <v>264140</v>
      </c>
      <c r="Q547" s="602">
        <f t="shared" si="160"/>
        <v>8804.6666666666661</v>
      </c>
      <c r="R547" s="603">
        <f t="shared" si="161"/>
        <v>268037</v>
      </c>
      <c r="S547" s="604">
        <f t="shared" si="162"/>
        <v>8934.5666666666675</v>
      </c>
      <c r="T547" s="298">
        <v>543</v>
      </c>
      <c r="U547" s="299">
        <v>373</v>
      </c>
      <c r="V547" s="601">
        <f t="shared" si="163"/>
        <v>264140</v>
      </c>
      <c r="W547" s="605">
        <f t="shared" si="164"/>
        <v>268037</v>
      </c>
      <c r="X547" s="305"/>
      <c r="Y547" s="299"/>
      <c r="Z547" s="298"/>
      <c r="AA547" s="299"/>
      <c r="AB547" s="298"/>
      <c r="AC547" s="299"/>
      <c r="AD547" s="298"/>
      <c r="AE547" s="299"/>
      <c r="AF547" s="601">
        <f t="shared" si="165"/>
        <v>0</v>
      </c>
      <c r="AG547" s="602">
        <f t="shared" si="166"/>
        <v>0</v>
      </c>
      <c r="AH547" s="603">
        <f t="shared" si="167"/>
        <v>0</v>
      </c>
      <c r="AI547" s="603">
        <f t="shared" si="168"/>
        <v>0</v>
      </c>
      <c r="AJ547" s="298"/>
      <c r="AK547" s="299"/>
      <c r="AL547" s="601">
        <f t="shared" si="169"/>
        <v>0</v>
      </c>
      <c r="AM547" s="604">
        <f t="shared" si="170"/>
        <v>0</v>
      </c>
      <c r="AN547" s="306"/>
      <c r="AO547" s="307"/>
      <c r="AP547" s="298">
        <v>861</v>
      </c>
      <c r="AQ547" s="440">
        <v>786</v>
      </c>
      <c r="AR547" s="298">
        <v>384</v>
      </c>
      <c r="AS547" s="440">
        <v>420</v>
      </c>
      <c r="AT547" s="298">
        <v>768</v>
      </c>
      <c r="AU547" s="440">
        <v>963</v>
      </c>
      <c r="AV547" s="601">
        <f t="shared" si="171"/>
        <v>2013</v>
      </c>
      <c r="AW547" s="609">
        <f t="shared" si="172"/>
        <v>83.875</v>
      </c>
      <c r="AX547" s="603">
        <f t="shared" si="173"/>
        <v>2169</v>
      </c>
      <c r="AY547" s="610">
        <f t="shared" si="174"/>
        <v>90.375</v>
      </c>
      <c r="AZ547" s="611">
        <f t="shared" si="175"/>
        <v>8888.5416666666661</v>
      </c>
      <c r="BA547" s="603">
        <f t="shared" si="176"/>
        <v>9024.9416666666675</v>
      </c>
    </row>
    <row r="548" spans="1:53">
      <c r="A548" s="429" t="s">
        <v>33</v>
      </c>
      <c r="B548" s="371" t="s">
        <v>570</v>
      </c>
      <c r="C548" s="446"/>
      <c r="D548" s="369">
        <v>228714</v>
      </c>
      <c r="E548" s="369">
        <v>6</v>
      </c>
      <c r="F548" s="296" t="s">
        <v>52</v>
      </c>
      <c r="G548" s="297" t="s">
        <v>52</v>
      </c>
      <c r="H548" s="298"/>
      <c r="I548" s="299"/>
      <c r="J548" s="298">
        <v>20654</v>
      </c>
      <c r="K548" s="299">
        <v>23424</v>
      </c>
      <c r="L548" s="298">
        <v>3805</v>
      </c>
      <c r="M548" s="299">
        <v>4200</v>
      </c>
      <c r="N548" s="298">
        <v>25022</v>
      </c>
      <c r="O548" s="299">
        <v>26542</v>
      </c>
      <c r="P548" s="601">
        <f t="shared" si="159"/>
        <v>49481</v>
      </c>
      <c r="Q548" s="602">
        <f t="shared" si="160"/>
        <v>1649.3666666666666</v>
      </c>
      <c r="R548" s="603">
        <f t="shared" si="161"/>
        <v>54166</v>
      </c>
      <c r="S548" s="604">
        <f t="shared" si="162"/>
        <v>1805.5333333333333</v>
      </c>
      <c r="T548" s="298">
        <v>0</v>
      </c>
      <c r="U548" s="299">
        <v>0</v>
      </c>
      <c r="V548" s="601">
        <f t="shared" si="163"/>
        <v>49481</v>
      </c>
      <c r="W548" s="605">
        <f t="shared" si="164"/>
        <v>54166</v>
      </c>
      <c r="X548" s="305"/>
      <c r="Y548" s="299"/>
      <c r="Z548" s="298"/>
      <c r="AA548" s="299"/>
      <c r="AB548" s="298"/>
      <c r="AC548" s="299"/>
      <c r="AD548" s="298"/>
      <c r="AE548" s="299"/>
      <c r="AF548" s="601">
        <f t="shared" si="165"/>
        <v>0</v>
      </c>
      <c r="AG548" s="602">
        <f t="shared" si="166"/>
        <v>0</v>
      </c>
      <c r="AH548" s="603">
        <f t="shared" si="167"/>
        <v>0</v>
      </c>
      <c r="AI548" s="603">
        <f t="shared" si="168"/>
        <v>0</v>
      </c>
      <c r="AJ548" s="298"/>
      <c r="AK548" s="299"/>
      <c r="AL548" s="601">
        <f t="shared" si="169"/>
        <v>0</v>
      </c>
      <c r="AM548" s="604">
        <f t="shared" si="170"/>
        <v>0</v>
      </c>
      <c r="AN548" s="306"/>
      <c r="AO548" s="307"/>
      <c r="AP548" s="298">
        <v>407</v>
      </c>
      <c r="AQ548" s="440">
        <v>494</v>
      </c>
      <c r="AR548" s="298">
        <v>137</v>
      </c>
      <c r="AS548" s="440">
        <v>187</v>
      </c>
      <c r="AT548" s="298">
        <v>452</v>
      </c>
      <c r="AU548" s="440">
        <v>530</v>
      </c>
      <c r="AV548" s="601">
        <f t="shared" si="171"/>
        <v>996</v>
      </c>
      <c r="AW548" s="609">
        <f t="shared" si="172"/>
        <v>41.5</v>
      </c>
      <c r="AX548" s="603">
        <f t="shared" si="173"/>
        <v>1211</v>
      </c>
      <c r="AY548" s="610">
        <f t="shared" si="174"/>
        <v>50.458333333333336</v>
      </c>
      <c r="AZ548" s="611">
        <f t="shared" si="175"/>
        <v>1690.8666666666666</v>
      </c>
      <c r="BA548" s="603">
        <f t="shared" si="176"/>
        <v>1855.9916666666666</v>
      </c>
    </row>
    <row r="549" spans="1:53">
      <c r="A549" s="429" t="s">
        <v>33</v>
      </c>
      <c r="B549" s="447" t="s">
        <v>571</v>
      </c>
      <c r="C549" s="448"/>
      <c r="D549" s="369">
        <v>223506</v>
      </c>
      <c r="E549" s="369">
        <v>7</v>
      </c>
      <c r="F549" s="296" t="s">
        <v>52</v>
      </c>
      <c r="G549" s="297" t="s">
        <v>52</v>
      </c>
      <c r="H549" s="298">
        <v>29763</v>
      </c>
      <c r="I549" s="299">
        <v>33617</v>
      </c>
      <c r="J549" s="298">
        <v>11013</v>
      </c>
      <c r="K549" s="299">
        <v>10798</v>
      </c>
      <c r="L549" s="298">
        <v>3264</v>
      </c>
      <c r="M549" s="299">
        <v>3216</v>
      </c>
      <c r="N549" s="298">
        <v>34688</v>
      </c>
      <c r="O549" s="299">
        <v>34167</v>
      </c>
      <c r="P549" s="601">
        <f t="shared" si="159"/>
        <v>78728</v>
      </c>
      <c r="Q549" s="602">
        <f t="shared" si="160"/>
        <v>2624.2666666666669</v>
      </c>
      <c r="R549" s="603">
        <f t="shared" si="161"/>
        <v>81798</v>
      </c>
      <c r="S549" s="604">
        <f t="shared" si="162"/>
        <v>2726.6</v>
      </c>
      <c r="T549" s="298">
        <v>11131</v>
      </c>
      <c r="U549" s="299">
        <v>12243</v>
      </c>
      <c r="V549" s="601">
        <f t="shared" si="163"/>
        <v>78728</v>
      </c>
      <c r="W549" s="605">
        <f t="shared" si="164"/>
        <v>81798</v>
      </c>
      <c r="X549" s="305">
        <v>11039</v>
      </c>
      <c r="Y549" s="440">
        <v>18371</v>
      </c>
      <c r="Z549" s="298">
        <v>12092</v>
      </c>
      <c r="AA549" s="299">
        <v>7152</v>
      </c>
      <c r="AB549" s="298">
        <v>19919</v>
      </c>
      <c r="AC549" s="299">
        <v>12866</v>
      </c>
      <c r="AD549" s="298">
        <v>16742</v>
      </c>
      <c r="AE549" s="299">
        <v>10502</v>
      </c>
      <c r="AF549" s="601">
        <f t="shared" si="165"/>
        <v>59792</v>
      </c>
      <c r="AG549" s="602">
        <f t="shared" si="166"/>
        <v>66.435555555555553</v>
      </c>
      <c r="AH549" s="603">
        <f t="shared" si="167"/>
        <v>48891</v>
      </c>
      <c r="AI549" s="603">
        <f t="shared" si="168"/>
        <v>54.323333333333331</v>
      </c>
      <c r="AJ549" s="298"/>
      <c r="AK549" s="299"/>
      <c r="AL549" s="601">
        <f t="shared" si="169"/>
        <v>0</v>
      </c>
      <c r="AM549" s="604">
        <f t="shared" si="170"/>
        <v>0</v>
      </c>
      <c r="AN549" s="306"/>
      <c r="AO549" s="307"/>
      <c r="AP549" s="298"/>
      <c r="AQ549" s="307"/>
      <c r="AR549" s="298"/>
      <c r="AS549" s="307"/>
      <c r="AT549" s="298"/>
      <c r="AU549" s="307"/>
      <c r="AV549" s="601">
        <f t="shared" si="171"/>
        <v>0</v>
      </c>
      <c r="AW549" s="609">
        <f t="shared" si="172"/>
        <v>0</v>
      </c>
      <c r="AX549" s="603">
        <f t="shared" si="173"/>
        <v>0</v>
      </c>
      <c r="AY549" s="610">
        <f t="shared" si="174"/>
        <v>0</v>
      </c>
      <c r="AZ549" s="611">
        <f t="shared" si="175"/>
        <v>2690.7022222222226</v>
      </c>
      <c r="BA549" s="603">
        <f t="shared" si="176"/>
        <v>2780.9233333333332</v>
      </c>
    </row>
    <row r="550" spans="1:53">
      <c r="A550" s="429" t="s">
        <v>33</v>
      </c>
      <c r="B550" s="447" t="s">
        <v>572</v>
      </c>
      <c r="C550" s="448"/>
      <c r="D550" s="369">
        <v>226806</v>
      </c>
      <c r="E550" s="369">
        <v>7</v>
      </c>
      <c r="F550" s="296" t="s">
        <v>52</v>
      </c>
      <c r="G550" s="297" t="s">
        <v>52</v>
      </c>
      <c r="H550" s="298">
        <v>50278</v>
      </c>
      <c r="I550" s="299">
        <v>51588</v>
      </c>
      <c r="J550" s="298">
        <v>12247</v>
      </c>
      <c r="K550" s="299">
        <v>13589</v>
      </c>
      <c r="L550" s="298">
        <v>11390</v>
      </c>
      <c r="M550" s="299">
        <v>10307</v>
      </c>
      <c r="N550" s="298">
        <v>51523</v>
      </c>
      <c r="O550" s="299">
        <v>48132</v>
      </c>
      <c r="P550" s="601">
        <f t="shared" si="159"/>
        <v>125438</v>
      </c>
      <c r="Q550" s="602">
        <f t="shared" si="160"/>
        <v>4181.2666666666664</v>
      </c>
      <c r="R550" s="603">
        <f t="shared" si="161"/>
        <v>123616</v>
      </c>
      <c r="S550" s="604">
        <f t="shared" si="162"/>
        <v>4120.5333333333338</v>
      </c>
      <c r="T550" s="298">
        <v>9143</v>
      </c>
      <c r="U550" s="299">
        <v>7934</v>
      </c>
      <c r="V550" s="601">
        <f t="shared" si="163"/>
        <v>125438</v>
      </c>
      <c r="W550" s="605">
        <f t="shared" si="164"/>
        <v>123616</v>
      </c>
      <c r="X550" s="305">
        <v>37048</v>
      </c>
      <c r="Y550" s="440">
        <v>42506</v>
      </c>
      <c r="Z550" s="298">
        <v>42666</v>
      </c>
      <c r="AA550" s="299">
        <v>60064</v>
      </c>
      <c r="AB550" s="298">
        <v>33236</v>
      </c>
      <c r="AC550" s="299">
        <v>48889</v>
      </c>
      <c r="AD550" s="298">
        <v>47166</v>
      </c>
      <c r="AE550" s="299">
        <v>57666</v>
      </c>
      <c r="AF550" s="601">
        <f t="shared" si="165"/>
        <v>160116</v>
      </c>
      <c r="AG550" s="602">
        <f t="shared" si="166"/>
        <v>177.90666666666667</v>
      </c>
      <c r="AH550" s="603">
        <f t="shared" si="167"/>
        <v>209125</v>
      </c>
      <c r="AI550" s="603">
        <f t="shared" si="168"/>
        <v>232.36111111111111</v>
      </c>
      <c r="AJ550" s="298"/>
      <c r="AK550" s="299"/>
      <c r="AL550" s="601">
        <f t="shared" si="169"/>
        <v>0</v>
      </c>
      <c r="AM550" s="604">
        <f t="shared" si="170"/>
        <v>0</v>
      </c>
      <c r="AN550" s="306"/>
      <c r="AO550" s="307"/>
      <c r="AP550" s="298"/>
      <c r="AQ550" s="307"/>
      <c r="AR550" s="298"/>
      <c r="AS550" s="307"/>
      <c r="AT550" s="298"/>
      <c r="AU550" s="307"/>
      <c r="AV550" s="601">
        <f t="shared" si="171"/>
        <v>0</v>
      </c>
      <c r="AW550" s="609">
        <f t="shared" si="172"/>
        <v>0</v>
      </c>
      <c r="AX550" s="603">
        <f t="shared" si="173"/>
        <v>0</v>
      </c>
      <c r="AY550" s="610">
        <f t="shared" si="174"/>
        <v>0</v>
      </c>
      <c r="AZ550" s="611">
        <f t="shared" si="175"/>
        <v>4359.1733333333332</v>
      </c>
      <c r="BA550" s="603">
        <f t="shared" si="176"/>
        <v>4352.8944444444451</v>
      </c>
    </row>
    <row r="551" spans="1:53">
      <c r="A551" s="429" t="s">
        <v>33</v>
      </c>
      <c r="B551" s="447" t="s">
        <v>573</v>
      </c>
      <c r="C551" s="448"/>
      <c r="D551" s="369">
        <v>409315</v>
      </c>
      <c r="E551" s="449">
        <v>7</v>
      </c>
      <c r="F551" s="296" t="s">
        <v>52</v>
      </c>
      <c r="G551" s="297" t="s">
        <v>52</v>
      </c>
      <c r="H551" s="298">
        <v>219071</v>
      </c>
      <c r="I551" s="299">
        <v>229196</v>
      </c>
      <c r="J551" s="298">
        <v>49384</v>
      </c>
      <c r="K551" s="299">
        <v>46364</v>
      </c>
      <c r="L551" s="298">
        <v>39725</v>
      </c>
      <c r="M551" s="299">
        <v>38815</v>
      </c>
      <c r="N551" s="298">
        <v>235760</v>
      </c>
      <c r="O551" s="299">
        <v>248052</v>
      </c>
      <c r="P551" s="601">
        <f t="shared" si="159"/>
        <v>543940</v>
      </c>
      <c r="Q551" s="602">
        <f t="shared" si="160"/>
        <v>18131.333333333332</v>
      </c>
      <c r="R551" s="603">
        <f t="shared" si="161"/>
        <v>562427</v>
      </c>
      <c r="S551" s="604">
        <f t="shared" si="162"/>
        <v>18747.566666666666</v>
      </c>
      <c r="T551" s="298">
        <v>98703</v>
      </c>
      <c r="U551" s="299">
        <v>107334</v>
      </c>
      <c r="V551" s="601">
        <f t="shared" si="163"/>
        <v>543940</v>
      </c>
      <c r="W551" s="605">
        <f t="shared" si="164"/>
        <v>562427</v>
      </c>
      <c r="X551" s="305">
        <v>52437</v>
      </c>
      <c r="Y551" s="440">
        <v>27394</v>
      </c>
      <c r="Z551" s="298">
        <v>68343</v>
      </c>
      <c r="AA551" s="299">
        <v>40064</v>
      </c>
      <c r="AB551" s="298">
        <v>95442</v>
      </c>
      <c r="AC551" s="299">
        <v>54817</v>
      </c>
      <c r="AD551" s="298">
        <v>53904</v>
      </c>
      <c r="AE551" s="299">
        <v>43514</v>
      </c>
      <c r="AF551" s="601">
        <f t="shared" si="165"/>
        <v>270126</v>
      </c>
      <c r="AG551" s="602">
        <f t="shared" si="166"/>
        <v>300.14</v>
      </c>
      <c r="AH551" s="603">
        <f t="shared" si="167"/>
        <v>165789</v>
      </c>
      <c r="AI551" s="603">
        <f t="shared" si="168"/>
        <v>184.21</v>
      </c>
      <c r="AJ551" s="298"/>
      <c r="AK551" s="299"/>
      <c r="AL551" s="601">
        <f t="shared" si="169"/>
        <v>0</v>
      </c>
      <c r="AM551" s="604">
        <f t="shared" si="170"/>
        <v>0</v>
      </c>
      <c r="AN551" s="306"/>
      <c r="AO551" s="307"/>
      <c r="AP551" s="298"/>
      <c r="AQ551" s="307"/>
      <c r="AR551" s="298"/>
      <c r="AS551" s="307"/>
      <c r="AT551" s="298"/>
      <c r="AU551" s="307"/>
      <c r="AV551" s="601">
        <f t="shared" si="171"/>
        <v>0</v>
      </c>
      <c r="AW551" s="609">
        <f t="shared" si="172"/>
        <v>0</v>
      </c>
      <c r="AX551" s="603">
        <f t="shared" si="173"/>
        <v>0</v>
      </c>
      <c r="AY551" s="610">
        <f t="shared" si="174"/>
        <v>0</v>
      </c>
      <c r="AZ551" s="611">
        <f t="shared" si="175"/>
        <v>18431.473333333332</v>
      </c>
      <c r="BA551" s="603">
        <f t="shared" si="176"/>
        <v>18931.776666666665</v>
      </c>
    </row>
    <row r="552" spans="1:53">
      <c r="A552" s="369" t="s">
        <v>33</v>
      </c>
      <c r="B552" s="371" t="s">
        <v>574</v>
      </c>
      <c r="C552" s="446"/>
      <c r="D552" s="369">
        <v>222576</v>
      </c>
      <c r="E552" s="369">
        <v>8</v>
      </c>
      <c r="F552" s="296" t="s">
        <v>52</v>
      </c>
      <c r="G552" s="297" t="s">
        <v>52</v>
      </c>
      <c r="H552" s="298">
        <v>90089</v>
      </c>
      <c r="I552" s="299">
        <v>93647</v>
      </c>
      <c r="J552" s="298">
        <v>28721</v>
      </c>
      <c r="K552" s="299">
        <v>25696</v>
      </c>
      <c r="L552" s="298">
        <v>0</v>
      </c>
      <c r="M552" s="299">
        <v>0</v>
      </c>
      <c r="N552" s="298">
        <v>94565</v>
      </c>
      <c r="O552" s="299">
        <v>92437</v>
      </c>
      <c r="P552" s="601">
        <f t="shared" si="159"/>
        <v>213375</v>
      </c>
      <c r="Q552" s="602">
        <f t="shared" si="160"/>
        <v>7112.5</v>
      </c>
      <c r="R552" s="603">
        <f t="shared" si="161"/>
        <v>211780</v>
      </c>
      <c r="S552" s="604">
        <f t="shared" si="162"/>
        <v>7059.333333333333</v>
      </c>
      <c r="T552" s="298">
        <v>20008</v>
      </c>
      <c r="U552" s="299">
        <v>20284</v>
      </c>
      <c r="V552" s="601">
        <f t="shared" si="163"/>
        <v>213375</v>
      </c>
      <c r="W552" s="605">
        <f t="shared" si="164"/>
        <v>211780</v>
      </c>
      <c r="X552" s="305">
        <v>125072</v>
      </c>
      <c r="Y552" s="440">
        <v>122097</v>
      </c>
      <c r="Z552" s="298">
        <v>131462</v>
      </c>
      <c r="AA552" s="299">
        <v>125316</v>
      </c>
      <c r="AB552" s="298">
        <v>117179</v>
      </c>
      <c r="AC552" s="299">
        <v>123689</v>
      </c>
      <c r="AD552" s="298">
        <v>149263</v>
      </c>
      <c r="AE552" s="299">
        <v>134519</v>
      </c>
      <c r="AF552" s="601">
        <f t="shared" si="165"/>
        <v>522976</v>
      </c>
      <c r="AG552" s="602">
        <f t="shared" si="166"/>
        <v>581.08444444444444</v>
      </c>
      <c r="AH552" s="603">
        <f t="shared" si="167"/>
        <v>505621</v>
      </c>
      <c r="AI552" s="603">
        <f t="shared" si="168"/>
        <v>561.80111111111114</v>
      </c>
      <c r="AJ552" s="298"/>
      <c r="AK552" s="299"/>
      <c r="AL552" s="601">
        <f t="shared" si="169"/>
        <v>0</v>
      </c>
      <c r="AM552" s="604">
        <f t="shared" si="170"/>
        <v>0</v>
      </c>
      <c r="AN552" s="306"/>
      <c r="AO552" s="307"/>
      <c r="AP552" s="298"/>
      <c r="AQ552" s="307"/>
      <c r="AR552" s="298"/>
      <c r="AS552" s="307"/>
      <c r="AT552" s="298"/>
      <c r="AU552" s="307"/>
      <c r="AV552" s="601">
        <f t="shared" si="171"/>
        <v>0</v>
      </c>
      <c r="AW552" s="609">
        <f t="shared" si="172"/>
        <v>0</v>
      </c>
      <c r="AX552" s="603">
        <f t="shared" si="173"/>
        <v>0</v>
      </c>
      <c r="AY552" s="610">
        <f t="shared" si="174"/>
        <v>0</v>
      </c>
      <c r="AZ552" s="611">
        <f t="shared" si="175"/>
        <v>7693.5844444444447</v>
      </c>
      <c r="BA552" s="603">
        <f t="shared" si="176"/>
        <v>7621.1344444444439</v>
      </c>
    </row>
    <row r="553" spans="1:53">
      <c r="A553" s="369" t="s">
        <v>33</v>
      </c>
      <c r="B553" s="371" t="s">
        <v>575</v>
      </c>
      <c r="C553" s="446"/>
      <c r="D553" s="369">
        <v>222992</v>
      </c>
      <c r="E553" s="369">
        <v>8</v>
      </c>
      <c r="F553" s="296" t="s">
        <v>52</v>
      </c>
      <c r="G553" s="297" t="s">
        <v>52</v>
      </c>
      <c r="H553" s="298">
        <v>317360</v>
      </c>
      <c r="I553" s="299">
        <v>344605</v>
      </c>
      <c r="J553" s="298">
        <v>187743</v>
      </c>
      <c r="K553" s="299">
        <v>185154</v>
      </c>
      <c r="L553" s="298">
        <v>0</v>
      </c>
      <c r="M553" s="299">
        <v>0</v>
      </c>
      <c r="N553" s="298">
        <v>311359</v>
      </c>
      <c r="O553" s="299">
        <v>306105</v>
      </c>
      <c r="P553" s="601">
        <f t="shared" si="159"/>
        <v>816462</v>
      </c>
      <c r="Q553" s="602">
        <f t="shared" si="160"/>
        <v>27215.4</v>
      </c>
      <c r="R553" s="603">
        <f t="shared" si="161"/>
        <v>835864</v>
      </c>
      <c r="S553" s="604">
        <f t="shared" si="162"/>
        <v>27862.133333333335</v>
      </c>
      <c r="T553" s="298">
        <v>48021</v>
      </c>
      <c r="U553" s="299">
        <v>50586</v>
      </c>
      <c r="V553" s="601">
        <f t="shared" si="163"/>
        <v>816462</v>
      </c>
      <c r="W553" s="605">
        <f t="shared" si="164"/>
        <v>835864</v>
      </c>
      <c r="X553" s="305">
        <v>107160</v>
      </c>
      <c r="Y553" s="440">
        <v>96828</v>
      </c>
      <c r="Z553" s="298">
        <v>72362</v>
      </c>
      <c r="AA553" s="299">
        <v>106623</v>
      </c>
      <c r="AB553" s="298">
        <v>97727</v>
      </c>
      <c r="AC553" s="299">
        <v>116457</v>
      </c>
      <c r="AD553" s="298">
        <v>96772</v>
      </c>
      <c r="AE553" s="299">
        <v>106873</v>
      </c>
      <c r="AF553" s="601">
        <f t="shared" si="165"/>
        <v>374021</v>
      </c>
      <c r="AG553" s="602">
        <f t="shared" si="166"/>
        <v>415.57888888888891</v>
      </c>
      <c r="AH553" s="603">
        <f t="shared" si="167"/>
        <v>426781</v>
      </c>
      <c r="AI553" s="603">
        <f t="shared" si="168"/>
        <v>474.20111111111112</v>
      </c>
      <c r="AJ553" s="298"/>
      <c r="AK553" s="299"/>
      <c r="AL553" s="601">
        <f t="shared" si="169"/>
        <v>0</v>
      </c>
      <c r="AM553" s="604">
        <f t="shared" si="170"/>
        <v>0</v>
      </c>
      <c r="AN553" s="306"/>
      <c r="AO553" s="307"/>
      <c r="AP553" s="298"/>
      <c r="AQ553" s="307"/>
      <c r="AR553" s="298"/>
      <c r="AS553" s="307"/>
      <c r="AT553" s="298"/>
      <c r="AU553" s="307"/>
      <c r="AV553" s="601">
        <f t="shared" si="171"/>
        <v>0</v>
      </c>
      <c r="AW553" s="609">
        <f t="shared" si="172"/>
        <v>0</v>
      </c>
      <c r="AX553" s="603">
        <f t="shared" si="173"/>
        <v>0</v>
      </c>
      <c r="AY553" s="610">
        <f t="shared" si="174"/>
        <v>0</v>
      </c>
      <c r="AZ553" s="611">
        <f t="shared" si="175"/>
        <v>27630.978888888891</v>
      </c>
      <c r="BA553" s="603">
        <f t="shared" si="176"/>
        <v>28336.334444444445</v>
      </c>
    </row>
    <row r="554" spans="1:53">
      <c r="A554" s="369" t="s">
        <v>33</v>
      </c>
      <c r="B554" s="371" t="s">
        <v>576</v>
      </c>
      <c r="C554" s="446"/>
      <c r="D554" s="369">
        <v>223427</v>
      </c>
      <c r="E554" s="369">
        <v>8</v>
      </c>
      <c r="F554" s="296" t="s">
        <v>52</v>
      </c>
      <c r="G554" s="297" t="s">
        <v>52</v>
      </c>
      <c r="H554" s="298">
        <v>161949</v>
      </c>
      <c r="I554" s="299">
        <v>164807</v>
      </c>
      <c r="J554" s="298">
        <v>31463</v>
      </c>
      <c r="K554" s="299">
        <v>30098</v>
      </c>
      <c r="L554" s="298">
        <v>18149</v>
      </c>
      <c r="M554" s="299">
        <v>17968</v>
      </c>
      <c r="N554" s="298">
        <v>178016</v>
      </c>
      <c r="O554" s="299">
        <v>183245</v>
      </c>
      <c r="P554" s="601">
        <f t="shared" si="159"/>
        <v>389577</v>
      </c>
      <c r="Q554" s="602">
        <f t="shared" si="160"/>
        <v>12985.9</v>
      </c>
      <c r="R554" s="603">
        <f t="shared" si="161"/>
        <v>396118</v>
      </c>
      <c r="S554" s="604">
        <f t="shared" si="162"/>
        <v>13203.933333333332</v>
      </c>
      <c r="T554" s="298">
        <v>13417</v>
      </c>
      <c r="U554" s="299">
        <v>12947</v>
      </c>
      <c r="V554" s="601">
        <f t="shared" si="163"/>
        <v>389577</v>
      </c>
      <c r="W554" s="605">
        <f t="shared" si="164"/>
        <v>396118</v>
      </c>
      <c r="X554" s="305">
        <v>35117</v>
      </c>
      <c r="Y554" s="440">
        <v>45281</v>
      </c>
      <c r="Z554" s="298">
        <v>37856</v>
      </c>
      <c r="AA554" s="299">
        <v>35766</v>
      </c>
      <c r="AB554" s="298">
        <v>45409</v>
      </c>
      <c r="AC554" s="299">
        <v>33585</v>
      </c>
      <c r="AD554" s="298">
        <v>60587</v>
      </c>
      <c r="AE554" s="299">
        <v>47267</v>
      </c>
      <c r="AF554" s="601">
        <f t="shared" si="165"/>
        <v>178969</v>
      </c>
      <c r="AG554" s="602">
        <f t="shared" si="166"/>
        <v>198.85444444444445</v>
      </c>
      <c r="AH554" s="603">
        <f t="shared" si="167"/>
        <v>161899</v>
      </c>
      <c r="AI554" s="603">
        <f t="shared" si="168"/>
        <v>179.88777777777779</v>
      </c>
      <c r="AJ554" s="298"/>
      <c r="AK554" s="299"/>
      <c r="AL554" s="601">
        <f t="shared" si="169"/>
        <v>0</v>
      </c>
      <c r="AM554" s="604">
        <f t="shared" si="170"/>
        <v>0</v>
      </c>
      <c r="AN554" s="306"/>
      <c r="AO554" s="307"/>
      <c r="AP554" s="298"/>
      <c r="AQ554" s="307"/>
      <c r="AR554" s="298"/>
      <c r="AS554" s="307"/>
      <c r="AT554" s="298"/>
      <c r="AU554" s="307"/>
      <c r="AV554" s="601">
        <f t="shared" si="171"/>
        <v>0</v>
      </c>
      <c r="AW554" s="609">
        <f t="shared" si="172"/>
        <v>0</v>
      </c>
      <c r="AX554" s="603">
        <f t="shared" si="173"/>
        <v>0</v>
      </c>
      <c r="AY554" s="610">
        <f t="shared" si="174"/>
        <v>0</v>
      </c>
      <c r="AZ554" s="611">
        <f t="shared" si="175"/>
        <v>13184.754444444445</v>
      </c>
      <c r="BA554" s="603">
        <f t="shared" si="176"/>
        <v>13383.82111111111</v>
      </c>
    </row>
    <row r="555" spans="1:53">
      <c r="A555" s="369" t="s">
        <v>33</v>
      </c>
      <c r="B555" s="450" t="s">
        <v>577</v>
      </c>
      <c r="C555" s="451"/>
      <c r="D555" s="369">
        <v>223524</v>
      </c>
      <c r="E555" s="449">
        <v>8</v>
      </c>
      <c r="F555" s="296" t="s">
        <v>52</v>
      </c>
      <c r="G555" s="297" t="s">
        <v>52</v>
      </c>
      <c r="H555" s="298">
        <v>86667</v>
      </c>
      <c r="I555" s="299">
        <v>89352</v>
      </c>
      <c r="J555" s="298">
        <v>35980</v>
      </c>
      <c r="K555" s="299">
        <v>33853</v>
      </c>
      <c r="L555" s="298">
        <v>18009</v>
      </c>
      <c r="M555" s="299">
        <v>17093</v>
      </c>
      <c r="N555" s="298">
        <v>75394</v>
      </c>
      <c r="O555" s="299">
        <v>74937</v>
      </c>
      <c r="P555" s="601">
        <f t="shared" si="159"/>
        <v>216050</v>
      </c>
      <c r="Q555" s="602">
        <f t="shared" si="160"/>
        <v>7201.666666666667</v>
      </c>
      <c r="R555" s="603">
        <f t="shared" si="161"/>
        <v>215235</v>
      </c>
      <c r="S555" s="604">
        <f t="shared" si="162"/>
        <v>7174.5</v>
      </c>
      <c r="T555" s="298">
        <v>7772</v>
      </c>
      <c r="U555" s="299">
        <v>9195</v>
      </c>
      <c r="V555" s="601">
        <f t="shared" si="163"/>
        <v>216050</v>
      </c>
      <c r="W555" s="605">
        <f t="shared" si="164"/>
        <v>215235</v>
      </c>
      <c r="X555" s="305">
        <v>89100</v>
      </c>
      <c r="Y555" s="440">
        <v>72299</v>
      </c>
      <c r="Z555" s="298">
        <v>94562</v>
      </c>
      <c r="AA555" s="299">
        <v>75368</v>
      </c>
      <c r="AB555" s="298">
        <v>87845</v>
      </c>
      <c r="AC555" s="299">
        <v>54799</v>
      </c>
      <c r="AD555" s="298">
        <v>106991</v>
      </c>
      <c r="AE555" s="299">
        <v>76757</v>
      </c>
      <c r="AF555" s="601">
        <f t="shared" si="165"/>
        <v>378498</v>
      </c>
      <c r="AG555" s="602">
        <f t="shared" si="166"/>
        <v>420.55333333333334</v>
      </c>
      <c r="AH555" s="603">
        <f t="shared" si="167"/>
        <v>279223</v>
      </c>
      <c r="AI555" s="603">
        <f t="shared" si="168"/>
        <v>310.2477777777778</v>
      </c>
      <c r="AJ555" s="298"/>
      <c r="AK555" s="299"/>
      <c r="AL555" s="601">
        <f t="shared" si="169"/>
        <v>0</v>
      </c>
      <c r="AM555" s="604">
        <f t="shared" si="170"/>
        <v>0</v>
      </c>
      <c r="AN555" s="306"/>
      <c r="AO555" s="307"/>
      <c r="AP555" s="298"/>
      <c r="AQ555" s="307"/>
      <c r="AR555" s="298"/>
      <c r="AS555" s="307"/>
      <c r="AT555" s="298"/>
      <c r="AU555" s="307"/>
      <c r="AV555" s="601">
        <f t="shared" si="171"/>
        <v>0</v>
      </c>
      <c r="AW555" s="609">
        <f t="shared" si="172"/>
        <v>0</v>
      </c>
      <c r="AX555" s="603">
        <f t="shared" si="173"/>
        <v>0</v>
      </c>
      <c r="AY555" s="610">
        <f t="shared" si="174"/>
        <v>0</v>
      </c>
      <c r="AZ555" s="611">
        <f t="shared" si="175"/>
        <v>7622.22</v>
      </c>
      <c r="BA555" s="603">
        <f t="shared" si="176"/>
        <v>7484.7477777777776</v>
      </c>
    </row>
    <row r="556" spans="1:53">
      <c r="A556" s="369" t="s">
        <v>33</v>
      </c>
      <c r="B556" s="447" t="s">
        <v>578</v>
      </c>
      <c r="C556" s="448"/>
      <c r="D556" s="369">
        <v>223816</v>
      </c>
      <c r="E556" s="449">
        <v>8</v>
      </c>
      <c r="F556" s="296" t="s">
        <v>52</v>
      </c>
      <c r="G556" s="297" t="s">
        <v>52</v>
      </c>
      <c r="H556" s="298">
        <v>108879</v>
      </c>
      <c r="I556" s="299">
        <v>126523</v>
      </c>
      <c r="J556" s="298">
        <v>98194</v>
      </c>
      <c r="K556" s="299">
        <v>92122</v>
      </c>
      <c r="L556" s="298">
        <v>6014</v>
      </c>
      <c r="M556" s="299">
        <v>5181</v>
      </c>
      <c r="N556" s="298">
        <v>98775</v>
      </c>
      <c r="O556" s="299">
        <v>96668</v>
      </c>
      <c r="P556" s="601">
        <f t="shared" si="159"/>
        <v>311862</v>
      </c>
      <c r="Q556" s="602">
        <f t="shared" si="160"/>
        <v>10395.4</v>
      </c>
      <c r="R556" s="603">
        <f t="shared" si="161"/>
        <v>320494</v>
      </c>
      <c r="S556" s="604">
        <f t="shared" si="162"/>
        <v>10683.133333333333</v>
      </c>
      <c r="T556" s="298">
        <v>15847</v>
      </c>
      <c r="U556" s="299">
        <v>19759</v>
      </c>
      <c r="V556" s="601">
        <f t="shared" si="163"/>
        <v>311862</v>
      </c>
      <c r="W556" s="605">
        <f t="shared" si="164"/>
        <v>320494</v>
      </c>
      <c r="X556" s="305">
        <v>88561</v>
      </c>
      <c r="Y556" s="440">
        <v>99494</v>
      </c>
      <c r="Z556" s="298">
        <v>114912</v>
      </c>
      <c r="AA556" s="299">
        <v>115731</v>
      </c>
      <c r="AB556" s="298">
        <v>114472</v>
      </c>
      <c r="AC556" s="299">
        <v>84710</v>
      </c>
      <c r="AD556" s="298">
        <v>113233</v>
      </c>
      <c r="AE556" s="299">
        <v>98587</v>
      </c>
      <c r="AF556" s="601">
        <f t="shared" si="165"/>
        <v>431178</v>
      </c>
      <c r="AG556" s="602">
        <f t="shared" si="166"/>
        <v>479.08666666666664</v>
      </c>
      <c r="AH556" s="603">
        <f t="shared" si="167"/>
        <v>398522</v>
      </c>
      <c r="AI556" s="603">
        <f t="shared" si="168"/>
        <v>442.80222222222221</v>
      </c>
      <c r="AJ556" s="298"/>
      <c r="AK556" s="299"/>
      <c r="AL556" s="601">
        <f t="shared" si="169"/>
        <v>0</v>
      </c>
      <c r="AM556" s="604">
        <f t="shared" si="170"/>
        <v>0</v>
      </c>
      <c r="AN556" s="306"/>
      <c r="AO556" s="307"/>
      <c r="AP556" s="298"/>
      <c r="AQ556" s="307"/>
      <c r="AR556" s="298"/>
      <c r="AS556" s="307"/>
      <c r="AT556" s="298"/>
      <c r="AU556" s="307"/>
      <c r="AV556" s="601">
        <f t="shared" si="171"/>
        <v>0</v>
      </c>
      <c r="AW556" s="609">
        <f t="shared" si="172"/>
        <v>0</v>
      </c>
      <c r="AX556" s="603">
        <f t="shared" si="173"/>
        <v>0</v>
      </c>
      <c r="AY556" s="610">
        <f t="shared" si="174"/>
        <v>0</v>
      </c>
      <c r="AZ556" s="611">
        <f t="shared" si="175"/>
        <v>10874.486666666666</v>
      </c>
      <c r="BA556" s="603">
        <f t="shared" si="176"/>
        <v>11125.935555555556</v>
      </c>
    </row>
    <row r="557" spans="1:53">
      <c r="A557" s="369" t="s">
        <v>33</v>
      </c>
      <c r="B557" s="447" t="s">
        <v>579</v>
      </c>
      <c r="C557" s="448"/>
      <c r="D557" s="369">
        <v>247834</v>
      </c>
      <c r="E557" s="449">
        <v>8</v>
      </c>
      <c r="F557" s="296" t="s">
        <v>52</v>
      </c>
      <c r="G557" s="297" t="s">
        <v>52</v>
      </c>
      <c r="H557" s="298">
        <v>217884</v>
      </c>
      <c r="I557" s="299">
        <v>223300</v>
      </c>
      <c r="J557" s="298">
        <v>47203</v>
      </c>
      <c r="K557" s="299">
        <v>47013</v>
      </c>
      <c r="L557" s="298">
        <v>40030</v>
      </c>
      <c r="M557" s="299">
        <v>40934</v>
      </c>
      <c r="N557" s="298">
        <v>223173</v>
      </c>
      <c r="O557" s="299">
        <v>226025</v>
      </c>
      <c r="P557" s="601">
        <f t="shared" si="159"/>
        <v>528290</v>
      </c>
      <c r="Q557" s="602">
        <f t="shared" si="160"/>
        <v>17609.666666666668</v>
      </c>
      <c r="R557" s="603">
        <f t="shared" si="161"/>
        <v>537272</v>
      </c>
      <c r="S557" s="604">
        <f t="shared" si="162"/>
        <v>17909.066666666666</v>
      </c>
      <c r="T557" s="298">
        <v>18884</v>
      </c>
      <c r="U557" s="299">
        <v>21365</v>
      </c>
      <c r="V557" s="601">
        <f t="shared" si="163"/>
        <v>528290</v>
      </c>
      <c r="W557" s="605">
        <f t="shared" si="164"/>
        <v>537272</v>
      </c>
      <c r="X557" s="305">
        <v>128068</v>
      </c>
      <c r="Y557" s="440">
        <v>129730</v>
      </c>
      <c r="Z557" s="298">
        <v>139694</v>
      </c>
      <c r="AA557" s="299">
        <v>99184</v>
      </c>
      <c r="AB557" s="298">
        <v>122987</v>
      </c>
      <c r="AC557" s="299">
        <v>127316</v>
      </c>
      <c r="AD557" s="298">
        <v>174611</v>
      </c>
      <c r="AE557" s="299">
        <v>180375</v>
      </c>
      <c r="AF557" s="601">
        <f t="shared" si="165"/>
        <v>565360</v>
      </c>
      <c r="AG557" s="602">
        <f t="shared" si="166"/>
        <v>628.17777777777781</v>
      </c>
      <c r="AH557" s="603">
        <f t="shared" si="167"/>
        <v>536605</v>
      </c>
      <c r="AI557" s="603">
        <f t="shared" si="168"/>
        <v>596.22777777777776</v>
      </c>
      <c r="AJ557" s="298"/>
      <c r="AK557" s="299"/>
      <c r="AL557" s="601">
        <f t="shared" si="169"/>
        <v>0</v>
      </c>
      <c r="AM557" s="604">
        <f t="shared" si="170"/>
        <v>0</v>
      </c>
      <c r="AN557" s="306"/>
      <c r="AO557" s="307"/>
      <c r="AP557" s="298"/>
      <c r="AQ557" s="307"/>
      <c r="AR557" s="298"/>
      <c r="AS557" s="307"/>
      <c r="AT557" s="298"/>
      <c r="AU557" s="307"/>
      <c r="AV557" s="601">
        <f t="shared" si="171"/>
        <v>0</v>
      </c>
      <c r="AW557" s="609">
        <f t="shared" si="172"/>
        <v>0</v>
      </c>
      <c r="AX557" s="603">
        <f t="shared" si="173"/>
        <v>0</v>
      </c>
      <c r="AY557" s="610">
        <f t="shared" si="174"/>
        <v>0</v>
      </c>
      <c r="AZ557" s="611">
        <f t="shared" si="175"/>
        <v>18237.844444444447</v>
      </c>
      <c r="BA557" s="603">
        <f t="shared" si="176"/>
        <v>18505.294444444444</v>
      </c>
    </row>
    <row r="558" spans="1:53">
      <c r="A558" s="369" t="s">
        <v>33</v>
      </c>
      <c r="B558" s="447" t="s">
        <v>580</v>
      </c>
      <c r="C558" s="448"/>
      <c r="D558" s="369">
        <v>224350</v>
      </c>
      <c r="E558" s="449">
        <v>8</v>
      </c>
      <c r="F558" s="296" t="s">
        <v>52</v>
      </c>
      <c r="G558" s="297" t="s">
        <v>52</v>
      </c>
      <c r="H558" s="298">
        <v>96181</v>
      </c>
      <c r="I558" s="299">
        <v>97094</v>
      </c>
      <c r="J558" s="298">
        <v>27153</v>
      </c>
      <c r="K558" s="299">
        <v>25321</v>
      </c>
      <c r="L558" s="298">
        <v>12998</v>
      </c>
      <c r="M558" s="299">
        <v>11668</v>
      </c>
      <c r="N558" s="298">
        <v>99356</v>
      </c>
      <c r="O558" s="299">
        <v>96822</v>
      </c>
      <c r="P558" s="601">
        <f t="shared" si="159"/>
        <v>235688</v>
      </c>
      <c r="Q558" s="602">
        <f t="shared" si="160"/>
        <v>7856.2666666666664</v>
      </c>
      <c r="R558" s="603">
        <f t="shared" si="161"/>
        <v>230905</v>
      </c>
      <c r="S558" s="604">
        <f t="shared" si="162"/>
        <v>7696.833333333333</v>
      </c>
      <c r="T558" s="298">
        <v>14669</v>
      </c>
      <c r="U558" s="299">
        <v>15131</v>
      </c>
      <c r="V558" s="601">
        <f t="shared" si="163"/>
        <v>235688</v>
      </c>
      <c r="W558" s="605">
        <f t="shared" si="164"/>
        <v>230905</v>
      </c>
      <c r="X558" s="305">
        <v>25165</v>
      </c>
      <c r="Y558" s="440">
        <v>84561</v>
      </c>
      <c r="Z558" s="298">
        <v>54503</v>
      </c>
      <c r="AA558" s="299">
        <v>44534</v>
      </c>
      <c r="AB558" s="298">
        <v>49599</v>
      </c>
      <c r="AC558" s="299">
        <v>61228</v>
      </c>
      <c r="AD558" s="298">
        <v>106554</v>
      </c>
      <c r="AE558" s="299">
        <v>91039</v>
      </c>
      <c r="AF558" s="601">
        <f t="shared" si="165"/>
        <v>235821</v>
      </c>
      <c r="AG558" s="602">
        <f t="shared" si="166"/>
        <v>262.02333333333331</v>
      </c>
      <c r="AH558" s="603">
        <f t="shared" si="167"/>
        <v>281362</v>
      </c>
      <c r="AI558" s="603">
        <f t="shared" si="168"/>
        <v>312.62444444444446</v>
      </c>
      <c r="AJ558" s="298"/>
      <c r="AK558" s="299"/>
      <c r="AL558" s="601">
        <f t="shared" si="169"/>
        <v>0</v>
      </c>
      <c r="AM558" s="604">
        <f t="shared" si="170"/>
        <v>0</v>
      </c>
      <c r="AN558" s="306"/>
      <c r="AO558" s="307"/>
      <c r="AP558" s="298"/>
      <c r="AQ558" s="307"/>
      <c r="AR558" s="298"/>
      <c r="AS558" s="307"/>
      <c r="AT558" s="298"/>
      <c r="AU558" s="307"/>
      <c r="AV558" s="601">
        <f t="shared" si="171"/>
        <v>0</v>
      </c>
      <c r="AW558" s="609">
        <f t="shared" si="172"/>
        <v>0</v>
      </c>
      <c r="AX558" s="603">
        <f t="shared" si="173"/>
        <v>0</v>
      </c>
      <c r="AY558" s="610">
        <f t="shared" si="174"/>
        <v>0</v>
      </c>
      <c r="AZ558" s="611">
        <f t="shared" si="175"/>
        <v>8118.29</v>
      </c>
      <c r="BA558" s="603">
        <f t="shared" si="176"/>
        <v>8009.4577777777777</v>
      </c>
    </row>
    <row r="559" spans="1:53">
      <c r="A559" s="369" t="s">
        <v>33</v>
      </c>
      <c r="B559" s="450" t="s">
        <v>581</v>
      </c>
      <c r="C559" s="451"/>
      <c r="D559" s="369">
        <v>224572</v>
      </c>
      <c r="E559" s="449">
        <v>8</v>
      </c>
      <c r="F559" s="296" t="s">
        <v>52</v>
      </c>
      <c r="G559" s="297" t="s">
        <v>52</v>
      </c>
      <c r="H559" s="298">
        <v>94279</v>
      </c>
      <c r="I559" s="299">
        <v>99334</v>
      </c>
      <c r="J559" s="298">
        <v>33595</v>
      </c>
      <c r="K559" s="299">
        <v>36921</v>
      </c>
      <c r="L559" s="298">
        <v>16923</v>
      </c>
      <c r="M559" s="299">
        <v>16027</v>
      </c>
      <c r="N559" s="298">
        <v>79283</v>
      </c>
      <c r="O559" s="299">
        <v>88527</v>
      </c>
      <c r="P559" s="601">
        <f t="shared" si="159"/>
        <v>224080</v>
      </c>
      <c r="Q559" s="602">
        <f t="shared" si="160"/>
        <v>7469.333333333333</v>
      </c>
      <c r="R559" s="603">
        <f t="shared" si="161"/>
        <v>240809</v>
      </c>
      <c r="S559" s="604">
        <f t="shared" si="162"/>
        <v>8026.9666666666662</v>
      </c>
      <c r="T559" s="298">
        <v>15163</v>
      </c>
      <c r="U559" s="299">
        <v>23314</v>
      </c>
      <c r="V559" s="601">
        <f t="shared" si="163"/>
        <v>224080</v>
      </c>
      <c r="W559" s="605">
        <f t="shared" si="164"/>
        <v>240809</v>
      </c>
      <c r="X559" s="305">
        <v>69710</v>
      </c>
      <c r="Y559" s="440">
        <v>93754</v>
      </c>
      <c r="Z559" s="298">
        <v>57982</v>
      </c>
      <c r="AA559" s="299">
        <v>103607</v>
      </c>
      <c r="AB559" s="298">
        <v>96492</v>
      </c>
      <c r="AC559" s="299">
        <v>91037</v>
      </c>
      <c r="AD559" s="298">
        <v>90726</v>
      </c>
      <c r="AE559" s="299">
        <v>105570</v>
      </c>
      <c r="AF559" s="601">
        <f t="shared" si="165"/>
        <v>314910</v>
      </c>
      <c r="AG559" s="602">
        <f t="shared" si="166"/>
        <v>349.9</v>
      </c>
      <c r="AH559" s="603">
        <f t="shared" si="167"/>
        <v>393968</v>
      </c>
      <c r="AI559" s="603">
        <f t="shared" si="168"/>
        <v>437.74222222222221</v>
      </c>
      <c r="AJ559" s="298"/>
      <c r="AK559" s="299"/>
      <c r="AL559" s="601">
        <f t="shared" si="169"/>
        <v>0</v>
      </c>
      <c r="AM559" s="604">
        <f t="shared" si="170"/>
        <v>0</v>
      </c>
      <c r="AN559" s="306"/>
      <c r="AO559" s="307"/>
      <c r="AP559" s="298"/>
      <c r="AQ559" s="307"/>
      <c r="AR559" s="298"/>
      <c r="AS559" s="307"/>
      <c r="AT559" s="298"/>
      <c r="AU559" s="307"/>
      <c r="AV559" s="601">
        <f t="shared" si="171"/>
        <v>0</v>
      </c>
      <c r="AW559" s="609">
        <f t="shared" si="172"/>
        <v>0</v>
      </c>
      <c r="AX559" s="603">
        <f t="shared" si="173"/>
        <v>0</v>
      </c>
      <c r="AY559" s="610">
        <f t="shared" si="174"/>
        <v>0</v>
      </c>
      <c r="AZ559" s="611">
        <f t="shared" si="175"/>
        <v>7819.2333333333327</v>
      </c>
      <c r="BA559" s="603">
        <f t="shared" si="176"/>
        <v>8464.7088888888884</v>
      </c>
    </row>
    <row r="560" spans="1:53">
      <c r="A560" s="429" t="s">
        <v>33</v>
      </c>
      <c r="B560" s="450" t="s">
        <v>582</v>
      </c>
      <c r="C560" s="451"/>
      <c r="D560" s="369">
        <v>224615</v>
      </c>
      <c r="E560" s="445">
        <v>8</v>
      </c>
      <c r="F560" s="296" t="s">
        <v>52</v>
      </c>
      <c r="G560" s="297" t="s">
        <v>52</v>
      </c>
      <c r="H560" s="298">
        <v>71527</v>
      </c>
      <c r="I560" s="299">
        <v>78880</v>
      </c>
      <c r="J560" s="298">
        <v>19830</v>
      </c>
      <c r="K560" s="299">
        <v>22066</v>
      </c>
      <c r="L560" s="298">
        <v>11714</v>
      </c>
      <c r="M560" s="299">
        <v>11053</v>
      </c>
      <c r="N560" s="298">
        <v>68198</v>
      </c>
      <c r="O560" s="299">
        <v>77983</v>
      </c>
      <c r="P560" s="601">
        <f t="shared" si="159"/>
        <v>171269</v>
      </c>
      <c r="Q560" s="602">
        <f t="shared" si="160"/>
        <v>5708.9666666666662</v>
      </c>
      <c r="R560" s="603">
        <f t="shared" si="161"/>
        <v>189982</v>
      </c>
      <c r="S560" s="604">
        <f t="shared" si="162"/>
        <v>6332.7333333333336</v>
      </c>
      <c r="T560" s="298">
        <v>9731</v>
      </c>
      <c r="U560" s="299">
        <v>13033</v>
      </c>
      <c r="V560" s="601">
        <f t="shared" si="163"/>
        <v>171269</v>
      </c>
      <c r="W560" s="605">
        <f t="shared" si="164"/>
        <v>189982</v>
      </c>
      <c r="X560" s="305">
        <v>473478</v>
      </c>
      <c r="Y560" s="440">
        <v>199547</v>
      </c>
      <c r="Z560" s="298">
        <v>432462</v>
      </c>
      <c r="AA560" s="299">
        <v>203570</v>
      </c>
      <c r="AB560" s="298">
        <v>547679</v>
      </c>
      <c r="AC560" s="299">
        <v>144259</v>
      </c>
      <c r="AD560" s="298">
        <v>530065</v>
      </c>
      <c r="AE560" s="299">
        <v>242244</v>
      </c>
      <c r="AF560" s="601">
        <f t="shared" si="165"/>
        <v>1983684</v>
      </c>
      <c r="AG560" s="602">
        <f t="shared" si="166"/>
        <v>2204.0933333333332</v>
      </c>
      <c r="AH560" s="603">
        <f t="shared" si="167"/>
        <v>789620</v>
      </c>
      <c r="AI560" s="603">
        <f t="shared" si="168"/>
        <v>877.35555555555561</v>
      </c>
      <c r="AJ560" s="298"/>
      <c r="AK560" s="299"/>
      <c r="AL560" s="601">
        <f t="shared" si="169"/>
        <v>0</v>
      </c>
      <c r="AM560" s="604">
        <f t="shared" si="170"/>
        <v>0</v>
      </c>
      <c r="AN560" s="306"/>
      <c r="AO560" s="307"/>
      <c r="AP560" s="298"/>
      <c r="AQ560" s="307"/>
      <c r="AR560" s="298"/>
      <c r="AS560" s="307"/>
      <c r="AT560" s="298"/>
      <c r="AU560" s="307"/>
      <c r="AV560" s="601">
        <f t="shared" si="171"/>
        <v>0</v>
      </c>
      <c r="AW560" s="609">
        <f t="shared" si="172"/>
        <v>0</v>
      </c>
      <c r="AX560" s="603">
        <f t="shared" si="173"/>
        <v>0</v>
      </c>
      <c r="AY560" s="610">
        <f t="shared" si="174"/>
        <v>0</v>
      </c>
      <c r="AZ560" s="611">
        <f t="shared" si="175"/>
        <v>7913.0599999999995</v>
      </c>
      <c r="BA560" s="603">
        <f t="shared" si="176"/>
        <v>7210.0888888888894</v>
      </c>
    </row>
    <row r="561" spans="1:53">
      <c r="A561" s="369" t="s">
        <v>33</v>
      </c>
      <c r="B561" s="447" t="s">
        <v>583</v>
      </c>
      <c r="C561" s="448"/>
      <c r="D561" s="369">
        <v>224642</v>
      </c>
      <c r="E561" s="449">
        <v>8</v>
      </c>
      <c r="F561" s="296" t="s">
        <v>52</v>
      </c>
      <c r="G561" s="297" t="s">
        <v>52</v>
      </c>
      <c r="H561" s="298">
        <v>243616</v>
      </c>
      <c r="I561" s="299">
        <v>252345</v>
      </c>
      <c r="J561" s="298">
        <v>62905</v>
      </c>
      <c r="K561" s="299">
        <v>68077</v>
      </c>
      <c r="L561" s="298">
        <v>0</v>
      </c>
      <c r="M561" s="299">
        <v>0</v>
      </c>
      <c r="N561" s="298">
        <v>256038</v>
      </c>
      <c r="O561" s="299">
        <v>261904</v>
      </c>
      <c r="P561" s="601">
        <f t="shared" si="159"/>
        <v>562559</v>
      </c>
      <c r="Q561" s="602">
        <f t="shared" si="160"/>
        <v>18751.966666666667</v>
      </c>
      <c r="R561" s="603">
        <f t="shared" si="161"/>
        <v>582326</v>
      </c>
      <c r="S561" s="604">
        <f t="shared" si="162"/>
        <v>19410.866666666665</v>
      </c>
      <c r="T561" s="298">
        <v>39080</v>
      </c>
      <c r="U561" s="299">
        <v>52573</v>
      </c>
      <c r="V561" s="601">
        <f t="shared" si="163"/>
        <v>562559</v>
      </c>
      <c r="W561" s="605">
        <f t="shared" si="164"/>
        <v>582326</v>
      </c>
      <c r="X561" s="305">
        <v>137627</v>
      </c>
      <c r="Y561" s="440">
        <v>129563</v>
      </c>
      <c r="Z561" s="298">
        <v>152886</v>
      </c>
      <c r="AA561" s="299">
        <v>133119</v>
      </c>
      <c r="AB561" s="298">
        <v>152974</v>
      </c>
      <c r="AC561" s="299">
        <v>166435</v>
      </c>
      <c r="AD561" s="298">
        <v>179439</v>
      </c>
      <c r="AE561" s="299">
        <v>163887</v>
      </c>
      <c r="AF561" s="601">
        <f t="shared" si="165"/>
        <v>622926</v>
      </c>
      <c r="AG561" s="602">
        <f t="shared" si="166"/>
        <v>692.14</v>
      </c>
      <c r="AH561" s="603">
        <f t="shared" si="167"/>
        <v>593004</v>
      </c>
      <c r="AI561" s="603">
        <f t="shared" si="168"/>
        <v>658.89333333333332</v>
      </c>
      <c r="AJ561" s="298"/>
      <c r="AK561" s="299"/>
      <c r="AL561" s="601">
        <f t="shared" si="169"/>
        <v>0</v>
      </c>
      <c r="AM561" s="604">
        <f t="shared" si="170"/>
        <v>0</v>
      </c>
      <c r="AN561" s="306"/>
      <c r="AO561" s="307"/>
      <c r="AP561" s="298"/>
      <c r="AQ561" s="307"/>
      <c r="AR561" s="298"/>
      <c r="AS561" s="307"/>
      <c r="AT561" s="298"/>
      <c r="AU561" s="307"/>
      <c r="AV561" s="601">
        <f t="shared" si="171"/>
        <v>0</v>
      </c>
      <c r="AW561" s="609">
        <f t="shared" si="172"/>
        <v>0</v>
      </c>
      <c r="AX561" s="603">
        <f t="shared" si="173"/>
        <v>0</v>
      </c>
      <c r="AY561" s="610">
        <f t="shared" si="174"/>
        <v>0</v>
      </c>
      <c r="AZ561" s="611">
        <f t="shared" si="175"/>
        <v>19444.106666666667</v>
      </c>
      <c r="BA561" s="603">
        <f t="shared" si="176"/>
        <v>20069.759999999998</v>
      </c>
    </row>
    <row r="562" spans="1:53">
      <c r="A562" s="369" t="s">
        <v>33</v>
      </c>
      <c r="B562" s="447" t="s">
        <v>584</v>
      </c>
      <c r="C562" s="448"/>
      <c r="D562" s="369">
        <v>225423</v>
      </c>
      <c r="E562" s="449">
        <v>8</v>
      </c>
      <c r="F562" s="296" t="s">
        <v>52</v>
      </c>
      <c r="G562" s="297" t="s">
        <v>52</v>
      </c>
      <c r="H562" s="298">
        <v>497253</v>
      </c>
      <c r="I562" s="299">
        <v>519200</v>
      </c>
      <c r="J562" s="298">
        <v>280546</v>
      </c>
      <c r="K562" s="299">
        <v>274376</v>
      </c>
      <c r="L562" s="298">
        <v>0</v>
      </c>
      <c r="M562" s="299">
        <v>0</v>
      </c>
      <c r="N562" s="298">
        <v>380830</v>
      </c>
      <c r="O562" s="299">
        <v>390312</v>
      </c>
      <c r="P562" s="601">
        <f t="shared" si="159"/>
        <v>1158629</v>
      </c>
      <c r="Q562" s="602">
        <f t="shared" si="160"/>
        <v>38620.966666666667</v>
      </c>
      <c r="R562" s="603">
        <f t="shared" si="161"/>
        <v>1183888</v>
      </c>
      <c r="S562" s="604">
        <f t="shared" si="162"/>
        <v>39462.933333333334</v>
      </c>
      <c r="T562" s="298">
        <v>66415</v>
      </c>
      <c r="U562" s="299">
        <v>44317</v>
      </c>
      <c r="V562" s="601">
        <f t="shared" si="163"/>
        <v>1158629</v>
      </c>
      <c r="W562" s="605">
        <f t="shared" si="164"/>
        <v>1183888</v>
      </c>
      <c r="X562" s="305">
        <v>392674</v>
      </c>
      <c r="Y562" s="440">
        <v>537454</v>
      </c>
      <c r="Z562" s="298">
        <v>534631</v>
      </c>
      <c r="AA562" s="299">
        <v>384249</v>
      </c>
      <c r="AB562" s="298">
        <v>359452</v>
      </c>
      <c r="AC562" s="299">
        <v>388800</v>
      </c>
      <c r="AD562" s="298">
        <v>603942</v>
      </c>
      <c r="AE562" s="299">
        <v>573214</v>
      </c>
      <c r="AF562" s="601">
        <f t="shared" si="165"/>
        <v>1890699</v>
      </c>
      <c r="AG562" s="602">
        <f t="shared" si="166"/>
        <v>2100.7766666666666</v>
      </c>
      <c r="AH562" s="603">
        <f t="shared" si="167"/>
        <v>1883717</v>
      </c>
      <c r="AI562" s="603">
        <f t="shared" si="168"/>
        <v>2093.0188888888888</v>
      </c>
      <c r="AJ562" s="298"/>
      <c r="AK562" s="299"/>
      <c r="AL562" s="601">
        <f t="shared" si="169"/>
        <v>0</v>
      </c>
      <c r="AM562" s="604">
        <f t="shared" si="170"/>
        <v>0</v>
      </c>
      <c r="AN562" s="306"/>
      <c r="AO562" s="307"/>
      <c r="AP562" s="298"/>
      <c r="AQ562" s="307"/>
      <c r="AR562" s="298"/>
      <c r="AS562" s="307"/>
      <c r="AT562" s="298"/>
      <c r="AU562" s="307"/>
      <c r="AV562" s="601">
        <f t="shared" si="171"/>
        <v>0</v>
      </c>
      <c r="AW562" s="609">
        <f t="shared" si="172"/>
        <v>0</v>
      </c>
      <c r="AX562" s="603">
        <f t="shared" si="173"/>
        <v>0</v>
      </c>
      <c r="AY562" s="610">
        <f t="shared" si="174"/>
        <v>0</v>
      </c>
      <c r="AZ562" s="611">
        <f t="shared" si="175"/>
        <v>40721.743333333332</v>
      </c>
      <c r="BA562" s="603">
        <f t="shared" si="176"/>
        <v>41555.952222222222</v>
      </c>
    </row>
    <row r="563" spans="1:53">
      <c r="A563" s="369" t="s">
        <v>33</v>
      </c>
      <c r="B563" s="444" t="s">
        <v>610</v>
      </c>
      <c r="C563" s="487" t="s">
        <v>727</v>
      </c>
      <c r="D563" s="369">
        <v>226019</v>
      </c>
      <c r="E563" s="488">
        <v>8</v>
      </c>
      <c r="F563" s="296" t="s">
        <v>52</v>
      </c>
      <c r="G563" s="297" t="s">
        <v>52</v>
      </c>
      <c r="H563" s="298">
        <v>63278</v>
      </c>
      <c r="I563" s="299">
        <v>63398</v>
      </c>
      <c r="J563" s="298">
        <v>12194</v>
      </c>
      <c r="K563" s="299">
        <v>11755</v>
      </c>
      <c r="L563" s="298">
        <v>7266</v>
      </c>
      <c r="M563" s="299">
        <v>6823</v>
      </c>
      <c r="N563" s="298">
        <v>63784</v>
      </c>
      <c r="O563" s="299">
        <v>61104</v>
      </c>
      <c r="P563" s="601">
        <f t="shared" si="159"/>
        <v>146522</v>
      </c>
      <c r="Q563" s="602">
        <f t="shared" si="160"/>
        <v>4884.0666666666666</v>
      </c>
      <c r="R563" s="603">
        <f t="shared" si="161"/>
        <v>143080</v>
      </c>
      <c r="S563" s="604">
        <f t="shared" si="162"/>
        <v>4769.333333333333</v>
      </c>
      <c r="T563" s="298">
        <v>11343</v>
      </c>
      <c r="U563" s="299">
        <v>10814</v>
      </c>
      <c r="V563" s="601">
        <f t="shared" si="163"/>
        <v>146522</v>
      </c>
      <c r="W563" s="605">
        <f t="shared" si="164"/>
        <v>143080</v>
      </c>
      <c r="X563" s="305">
        <v>130042</v>
      </c>
      <c r="Y563" s="440">
        <v>185513</v>
      </c>
      <c r="Z563" s="298">
        <v>234101</v>
      </c>
      <c r="AA563" s="299">
        <v>161528</v>
      </c>
      <c r="AB563" s="298">
        <v>212027</v>
      </c>
      <c r="AC563" s="299">
        <v>157431</v>
      </c>
      <c r="AD563" s="298">
        <v>189140</v>
      </c>
      <c r="AE563" s="299">
        <v>136908</v>
      </c>
      <c r="AF563" s="601">
        <f t="shared" si="165"/>
        <v>765310</v>
      </c>
      <c r="AG563" s="602">
        <f t="shared" si="166"/>
        <v>850.34444444444443</v>
      </c>
      <c r="AH563" s="603">
        <f t="shared" si="167"/>
        <v>641380</v>
      </c>
      <c r="AI563" s="603">
        <f t="shared" si="168"/>
        <v>712.64444444444439</v>
      </c>
      <c r="AJ563" s="298"/>
      <c r="AK563" s="299"/>
      <c r="AL563" s="601">
        <f t="shared" si="169"/>
        <v>0</v>
      </c>
      <c r="AM563" s="604">
        <f t="shared" si="170"/>
        <v>0</v>
      </c>
      <c r="AN563" s="306"/>
      <c r="AO563" s="307"/>
      <c r="AP563" s="298"/>
      <c r="AQ563" s="307"/>
      <c r="AR563" s="298"/>
      <c r="AS563" s="307"/>
      <c r="AT563" s="298"/>
      <c r="AU563" s="307"/>
      <c r="AV563" s="601">
        <f t="shared" si="171"/>
        <v>0</v>
      </c>
      <c r="AW563" s="609">
        <f t="shared" si="172"/>
        <v>0</v>
      </c>
      <c r="AX563" s="603">
        <f t="shared" si="173"/>
        <v>0</v>
      </c>
      <c r="AY563" s="610">
        <f t="shared" si="174"/>
        <v>0</v>
      </c>
      <c r="AZ563" s="611">
        <f t="shared" si="175"/>
        <v>5734.4111111111106</v>
      </c>
      <c r="BA563" s="603">
        <f t="shared" si="176"/>
        <v>5481.9777777777772</v>
      </c>
    </row>
    <row r="564" spans="1:53">
      <c r="A564" s="369" t="s">
        <v>33</v>
      </c>
      <c r="B564" s="447" t="s">
        <v>585</v>
      </c>
      <c r="C564" s="448"/>
      <c r="D564" s="369">
        <v>226134</v>
      </c>
      <c r="E564" s="449">
        <v>8</v>
      </c>
      <c r="F564" s="296" t="s">
        <v>52</v>
      </c>
      <c r="G564" s="297" t="s">
        <v>52</v>
      </c>
      <c r="H564" s="298">
        <v>78572</v>
      </c>
      <c r="I564" s="299">
        <v>80549</v>
      </c>
      <c r="J564" s="298">
        <v>16986</v>
      </c>
      <c r="K564" s="299">
        <v>15303</v>
      </c>
      <c r="L564" s="298">
        <v>9518</v>
      </c>
      <c r="M564" s="299">
        <v>7807</v>
      </c>
      <c r="N564" s="298">
        <v>85686</v>
      </c>
      <c r="O564" s="299">
        <v>85876</v>
      </c>
      <c r="P564" s="601">
        <f t="shared" si="159"/>
        <v>190762</v>
      </c>
      <c r="Q564" s="602">
        <f t="shared" si="160"/>
        <v>6358.7333333333336</v>
      </c>
      <c r="R564" s="603">
        <f t="shared" si="161"/>
        <v>189535</v>
      </c>
      <c r="S564" s="604">
        <f t="shared" si="162"/>
        <v>6317.833333333333</v>
      </c>
      <c r="T564" s="298">
        <v>4587</v>
      </c>
      <c r="U564" s="299">
        <v>4560</v>
      </c>
      <c r="V564" s="601">
        <f t="shared" si="163"/>
        <v>190762</v>
      </c>
      <c r="W564" s="605">
        <f t="shared" si="164"/>
        <v>189535</v>
      </c>
      <c r="X564" s="305">
        <v>17337</v>
      </c>
      <c r="Y564" s="440">
        <v>23823</v>
      </c>
      <c r="Z564" s="298">
        <v>32466</v>
      </c>
      <c r="AA564" s="299">
        <v>18475</v>
      </c>
      <c r="AB564" s="298">
        <v>33731</v>
      </c>
      <c r="AC564" s="299">
        <v>21435</v>
      </c>
      <c r="AD564" s="298">
        <v>32303</v>
      </c>
      <c r="AE564" s="299">
        <v>9747</v>
      </c>
      <c r="AF564" s="601">
        <f t="shared" si="165"/>
        <v>115837</v>
      </c>
      <c r="AG564" s="602">
        <f t="shared" si="166"/>
        <v>128.70777777777778</v>
      </c>
      <c r="AH564" s="603">
        <f t="shared" si="167"/>
        <v>73480</v>
      </c>
      <c r="AI564" s="603">
        <f t="shared" si="168"/>
        <v>81.644444444444446</v>
      </c>
      <c r="AJ564" s="298"/>
      <c r="AK564" s="299"/>
      <c r="AL564" s="601">
        <f t="shared" si="169"/>
        <v>0</v>
      </c>
      <c r="AM564" s="604">
        <f t="shared" si="170"/>
        <v>0</v>
      </c>
      <c r="AN564" s="306"/>
      <c r="AO564" s="307"/>
      <c r="AP564" s="298"/>
      <c r="AQ564" s="307"/>
      <c r="AR564" s="298"/>
      <c r="AS564" s="307"/>
      <c r="AT564" s="298"/>
      <c r="AU564" s="307"/>
      <c r="AV564" s="601">
        <f t="shared" si="171"/>
        <v>0</v>
      </c>
      <c r="AW564" s="609">
        <f t="shared" si="172"/>
        <v>0</v>
      </c>
      <c r="AX564" s="603">
        <f t="shared" si="173"/>
        <v>0</v>
      </c>
      <c r="AY564" s="610">
        <f t="shared" si="174"/>
        <v>0</v>
      </c>
      <c r="AZ564" s="611">
        <f t="shared" si="175"/>
        <v>6487.4411111111112</v>
      </c>
      <c r="BA564" s="603">
        <f t="shared" si="176"/>
        <v>6399.4777777777772</v>
      </c>
    </row>
    <row r="565" spans="1:53">
      <c r="A565" s="369" t="s">
        <v>33</v>
      </c>
      <c r="B565" s="371" t="s">
        <v>586</v>
      </c>
      <c r="C565" s="446"/>
      <c r="D565" s="369">
        <v>227182</v>
      </c>
      <c r="E565" s="369">
        <v>8</v>
      </c>
      <c r="F565" s="296" t="s">
        <v>52</v>
      </c>
      <c r="G565" s="297" t="s">
        <v>52</v>
      </c>
      <c r="H565" s="298">
        <v>443701</v>
      </c>
      <c r="I565" s="299">
        <v>480156</v>
      </c>
      <c r="J565" s="298">
        <v>220824</v>
      </c>
      <c r="K565" s="299">
        <v>222911</v>
      </c>
      <c r="L565" s="298">
        <v>0</v>
      </c>
      <c r="M565" s="299">
        <v>0</v>
      </c>
      <c r="N565" s="298">
        <v>436686</v>
      </c>
      <c r="O565" s="299">
        <v>450754</v>
      </c>
      <c r="P565" s="601">
        <f t="shared" si="159"/>
        <v>1101211</v>
      </c>
      <c r="Q565" s="602">
        <f t="shared" si="160"/>
        <v>36707.033333333333</v>
      </c>
      <c r="R565" s="603">
        <f t="shared" si="161"/>
        <v>1153821</v>
      </c>
      <c r="S565" s="604">
        <f t="shared" si="162"/>
        <v>38460.699999999997</v>
      </c>
      <c r="T565" s="298">
        <v>65002</v>
      </c>
      <c r="U565" s="299">
        <v>59785</v>
      </c>
      <c r="V565" s="601">
        <f t="shared" si="163"/>
        <v>1101211</v>
      </c>
      <c r="W565" s="605">
        <f t="shared" si="164"/>
        <v>1153821</v>
      </c>
      <c r="X565" s="305">
        <v>196287</v>
      </c>
      <c r="Y565" s="440">
        <v>118699</v>
      </c>
      <c r="Z565" s="298">
        <v>115244</v>
      </c>
      <c r="AA565" s="299">
        <v>135513</v>
      </c>
      <c r="AB565" s="298">
        <v>126742</v>
      </c>
      <c r="AC565" s="299">
        <v>109266</v>
      </c>
      <c r="AD565" s="298">
        <v>210289</v>
      </c>
      <c r="AE565" s="299">
        <v>163531</v>
      </c>
      <c r="AF565" s="601">
        <f t="shared" si="165"/>
        <v>648562</v>
      </c>
      <c r="AG565" s="602">
        <f t="shared" si="166"/>
        <v>720.62444444444441</v>
      </c>
      <c r="AH565" s="603">
        <f t="shared" si="167"/>
        <v>527009</v>
      </c>
      <c r="AI565" s="603">
        <f t="shared" si="168"/>
        <v>585.56555555555553</v>
      </c>
      <c r="AJ565" s="298"/>
      <c r="AK565" s="299"/>
      <c r="AL565" s="601">
        <f t="shared" si="169"/>
        <v>0</v>
      </c>
      <c r="AM565" s="604">
        <f t="shared" si="170"/>
        <v>0</v>
      </c>
      <c r="AN565" s="306"/>
      <c r="AO565" s="307"/>
      <c r="AP565" s="298"/>
      <c r="AQ565" s="307"/>
      <c r="AR565" s="298"/>
      <c r="AS565" s="307"/>
      <c r="AT565" s="298"/>
      <c r="AU565" s="307"/>
      <c r="AV565" s="601">
        <f t="shared" si="171"/>
        <v>0</v>
      </c>
      <c r="AW565" s="609">
        <f t="shared" si="172"/>
        <v>0</v>
      </c>
      <c r="AX565" s="603">
        <f t="shared" si="173"/>
        <v>0</v>
      </c>
      <c r="AY565" s="610">
        <f t="shared" si="174"/>
        <v>0</v>
      </c>
      <c r="AZ565" s="611">
        <f t="shared" si="175"/>
        <v>37427.657777777778</v>
      </c>
      <c r="BA565" s="603">
        <f t="shared" si="176"/>
        <v>39046.265555555554</v>
      </c>
    </row>
    <row r="566" spans="1:53">
      <c r="A566" s="369" t="s">
        <v>33</v>
      </c>
      <c r="B566" s="447" t="s">
        <v>587</v>
      </c>
      <c r="C566" s="448"/>
      <c r="D566" s="369">
        <v>226578</v>
      </c>
      <c r="E566" s="449">
        <v>8</v>
      </c>
      <c r="F566" s="296" t="s">
        <v>52</v>
      </c>
      <c r="G566" s="297" t="s">
        <v>52</v>
      </c>
      <c r="H566" s="298">
        <v>84166</v>
      </c>
      <c r="I566" s="299">
        <v>96362</v>
      </c>
      <c r="J566" s="298">
        <v>25442</v>
      </c>
      <c r="K566" s="299">
        <v>21067</v>
      </c>
      <c r="L566" s="298">
        <v>13266</v>
      </c>
      <c r="M566" s="299">
        <v>12768</v>
      </c>
      <c r="N566" s="298">
        <v>94420</v>
      </c>
      <c r="O566" s="299">
        <v>95215</v>
      </c>
      <c r="P566" s="601">
        <f t="shared" si="159"/>
        <v>217294</v>
      </c>
      <c r="Q566" s="602">
        <f t="shared" si="160"/>
        <v>7243.1333333333332</v>
      </c>
      <c r="R566" s="603">
        <f t="shared" si="161"/>
        <v>225412</v>
      </c>
      <c r="S566" s="604">
        <f t="shared" si="162"/>
        <v>7513.7333333333336</v>
      </c>
      <c r="T566" s="298">
        <v>9878</v>
      </c>
      <c r="U566" s="299">
        <v>10107</v>
      </c>
      <c r="V566" s="601">
        <f t="shared" si="163"/>
        <v>217294</v>
      </c>
      <c r="W566" s="605">
        <f t="shared" si="164"/>
        <v>225412</v>
      </c>
      <c r="X566" s="305">
        <v>62245</v>
      </c>
      <c r="Y566" s="440">
        <v>41450</v>
      </c>
      <c r="Z566" s="298">
        <v>52059</v>
      </c>
      <c r="AA566" s="299">
        <v>49581</v>
      </c>
      <c r="AB566" s="298">
        <v>61650</v>
      </c>
      <c r="AC566" s="299">
        <v>55229</v>
      </c>
      <c r="AD566" s="298">
        <v>36531</v>
      </c>
      <c r="AE566" s="299">
        <v>40685</v>
      </c>
      <c r="AF566" s="601">
        <f t="shared" si="165"/>
        <v>212485</v>
      </c>
      <c r="AG566" s="602">
        <f t="shared" si="166"/>
        <v>236.09444444444443</v>
      </c>
      <c r="AH566" s="603">
        <f t="shared" si="167"/>
        <v>186945</v>
      </c>
      <c r="AI566" s="603">
        <f t="shared" si="168"/>
        <v>207.71666666666667</v>
      </c>
      <c r="AJ566" s="298"/>
      <c r="AK566" s="299"/>
      <c r="AL566" s="601">
        <f t="shared" si="169"/>
        <v>0</v>
      </c>
      <c r="AM566" s="604">
        <f t="shared" si="170"/>
        <v>0</v>
      </c>
      <c r="AN566" s="306"/>
      <c r="AO566" s="307"/>
      <c r="AP566" s="298"/>
      <c r="AQ566" s="307"/>
      <c r="AR566" s="298"/>
      <c r="AS566" s="307"/>
      <c r="AT566" s="298"/>
      <c r="AU566" s="307"/>
      <c r="AV566" s="601">
        <f t="shared" si="171"/>
        <v>0</v>
      </c>
      <c r="AW566" s="609">
        <f t="shared" si="172"/>
        <v>0</v>
      </c>
      <c r="AX566" s="603">
        <f t="shared" si="173"/>
        <v>0</v>
      </c>
      <c r="AY566" s="610">
        <f t="shared" si="174"/>
        <v>0</v>
      </c>
      <c r="AZ566" s="611">
        <f t="shared" si="175"/>
        <v>7479.2277777777781</v>
      </c>
      <c r="BA566" s="603">
        <f t="shared" si="176"/>
        <v>7721.45</v>
      </c>
    </row>
    <row r="567" spans="1:53">
      <c r="A567" s="369" t="s">
        <v>33</v>
      </c>
      <c r="B567" s="447" t="s">
        <v>588</v>
      </c>
      <c r="C567" s="448"/>
      <c r="D567" s="369">
        <v>227146</v>
      </c>
      <c r="E567" s="449">
        <v>8</v>
      </c>
      <c r="F567" s="296" t="s">
        <v>52</v>
      </c>
      <c r="G567" s="297" t="s">
        <v>52</v>
      </c>
      <c r="H567" s="298">
        <v>96980</v>
      </c>
      <c r="I567" s="299">
        <v>105730</v>
      </c>
      <c r="J567" s="298">
        <v>24927</v>
      </c>
      <c r="K567" s="299">
        <v>27451</v>
      </c>
      <c r="L567" s="298">
        <v>11938</v>
      </c>
      <c r="M567" s="299">
        <v>10608</v>
      </c>
      <c r="N567" s="298">
        <v>99452</v>
      </c>
      <c r="O567" s="299">
        <v>102798</v>
      </c>
      <c r="P567" s="601">
        <f t="shared" si="159"/>
        <v>233297</v>
      </c>
      <c r="Q567" s="602">
        <f t="shared" si="160"/>
        <v>7776.5666666666666</v>
      </c>
      <c r="R567" s="603">
        <f t="shared" si="161"/>
        <v>246587</v>
      </c>
      <c r="S567" s="604">
        <f t="shared" si="162"/>
        <v>8219.5666666666675</v>
      </c>
      <c r="T567" s="298">
        <v>23721</v>
      </c>
      <c r="U567" s="299">
        <v>24212</v>
      </c>
      <c r="V567" s="601">
        <f t="shared" si="163"/>
        <v>233297</v>
      </c>
      <c r="W567" s="605">
        <f t="shared" si="164"/>
        <v>246587</v>
      </c>
      <c r="X567" s="305">
        <v>51324</v>
      </c>
      <c r="Y567" s="440">
        <v>45820</v>
      </c>
      <c r="Z567" s="298">
        <v>36450</v>
      </c>
      <c r="AA567" s="299">
        <v>43110</v>
      </c>
      <c r="AB567" s="298">
        <v>40086</v>
      </c>
      <c r="AC567" s="299">
        <v>34504</v>
      </c>
      <c r="AD567" s="298">
        <v>48235</v>
      </c>
      <c r="AE567" s="299">
        <v>48073</v>
      </c>
      <c r="AF567" s="601">
        <f t="shared" si="165"/>
        <v>176095</v>
      </c>
      <c r="AG567" s="602">
        <f t="shared" si="166"/>
        <v>195.6611111111111</v>
      </c>
      <c r="AH567" s="603">
        <f t="shared" si="167"/>
        <v>171507</v>
      </c>
      <c r="AI567" s="603">
        <f t="shared" si="168"/>
        <v>190.56333333333333</v>
      </c>
      <c r="AJ567" s="298"/>
      <c r="AK567" s="299"/>
      <c r="AL567" s="601">
        <f t="shared" si="169"/>
        <v>0</v>
      </c>
      <c r="AM567" s="604">
        <f t="shared" si="170"/>
        <v>0</v>
      </c>
      <c r="AN567" s="306"/>
      <c r="AO567" s="307"/>
      <c r="AP567" s="298"/>
      <c r="AQ567" s="307"/>
      <c r="AR567" s="298"/>
      <c r="AS567" s="307"/>
      <c r="AT567" s="298"/>
      <c r="AU567" s="307"/>
      <c r="AV567" s="601">
        <f t="shared" si="171"/>
        <v>0</v>
      </c>
      <c r="AW567" s="609">
        <f t="shared" si="172"/>
        <v>0</v>
      </c>
      <c r="AX567" s="603">
        <f t="shared" si="173"/>
        <v>0</v>
      </c>
      <c r="AY567" s="610">
        <f t="shared" si="174"/>
        <v>0</v>
      </c>
      <c r="AZ567" s="611">
        <f t="shared" si="175"/>
        <v>7972.2277777777781</v>
      </c>
      <c r="BA567" s="603">
        <f t="shared" si="176"/>
        <v>8410.130000000001</v>
      </c>
    </row>
    <row r="568" spans="1:53">
      <c r="A568" s="369" t="s">
        <v>33</v>
      </c>
      <c r="B568" s="452" t="s">
        <v>589</v>
      </c>
      <c r="C568" s="453"/>
      <c r="D568" s="369">
        <v>224110</v>
      </c>
      <c r="E568" s="445">
        <v>8</v>
      </c>
      <c r="F568" s="296" t="s">
        <v>52</v>
      </c>
      <c r="G568" s="297" t="s">
        <v>52</v>
      </c>
      <c r="H568" s="298">
        <v>74853</v>
      </c>
      <c r="I568" s="299">
        <v>78336</v>
      </c>
      <c r="J568" s="298">
        <v>22830</v>
      </c>
      <c r="K568" s="299">
        <v>23428</v>
      </c>
      <c r="L568" s="298">
        <v>0</v>
      </c>
      <c r="M568" s="299">
        <v>0</v>
      </c>
      <c r="N568" s="298">
        <v>79425</v>
      </c>
      <c r="O568" s="299">
        <v>84028</v>
      </c>
      <c r="P568" s="601">
        <f t="shared" si="159"/>
        <v>177108</v>
      </c>
      <c r="Q568" s="602">
        <f t="shared" si="160"/>
        <v>5903.6</v>
      </c>
      <c r="R568" s="603">
        <f t="shared" si="161"/>
        <v>185792</v>
      </c>
      <c r="S568" s="604">
        <f t="shared" si="162"/>
        <v>6193.0666666666666</v>
      </c>
      <c r="T568" s="298">
        <v>13205</v>
      </c>
      <c r="U568" s="299">
        <v>12110</v>
      </c>
      <c r="V568" s="601">
        <f t="shared" si="163"/>
        <v>177108</v>
      </c>
      <c r="W568" s="605">
        <f t="shared" si="164"/>
        <v>185792</v>
      </c>
      <c r="X568" s="305">
        <v>16259</v>
      </c>
      <c r="Y568" s="440">
        <v>26115</v>
      </c>
      <c r="Z568" s="298">
        <v>9314</v>
      </c>
      <c r="AA568" s="299">
        <v>12782</v>
      </c>
      <c r="AB568" s="298">
        <v>16291</v>
      </c>
      <c r="AC568" s="299">
        <v>25929</v>
      </c>
      <c r="AD568" s="298">
        <v>28803</v>
      </c>
      <c r="AE568" s="299">
        <v>27186</v>
      </c>
      <c r="AF568" s="601">
        <f t="shared" si="165"/>
        <v>70667</v>
      </c>
      <c r="AG568" s="602">
        <f t="shared" si="166"/>
        <v>78.518888888888895</v>
      </c>
      <c r="AH568" s="603">
        <f t="shared" si="167"/>
        <v>92012</v>
      </c>
      <c r="AI568" s="603">
        <f t="shared" si="168"/>
        <v>102.23555555555555</v>
      </c>
      <c r="AJ568" s="298"/>
      <c r="AK568" s="299"/>
      <c r="AL568" s="601">
        <f t="shared" si="169"/>
        <v>0</v>
      </c>
      <c r="AM568" s="604">
        <f t="shared" si="170"/>
        <v>0</v>
      </c>
      <c r="AN568" s="306"/>
      <c r="AO568" s="307"/>
      <c r="AP568" s="298"/>
      <c r="AQ568" s="307"/>
      <c r="AR568" s="298"/>
      <c r="AS568" s="307"/>
      <c r="AT568" s="298"/>
      <c r="AU568" s="307"/>
      <c r="AV568" s="601">
        <f t="shared" si="171"/>
        <v>0</v>
      </c>
      <c r="AW568" s="609">
        <f t="shared" si="172"/>
        <v>0</v>
      </c>
      <c r="AX568" s="603">
        <f t="shared" si="173"/>
        <v>0</v>
      </c>
      <c r="AY568" s="610">
        <f t="shared" si="174"/>
        <v>0</v>
      </c>
      <c r="AZ568" s="611">
        <f t="shared" si="175"/>
        <v>5982.1188888888892</v>
      </c>
      <c r="BA568" s="603">
        <f t="shared" si="176"/>
        <v>6295.3022222222226</v>
      </c>
    </row>
    <row r="569" spans="1:53">
      <c r="A569" s="369" t="s">
        <v>33</v>
      </c>
      <c r="B569" s="450" t="s">
        <v>590</v>
      </c>
      <c r="C569" s="451"/>
      <c r="D569" s="369">
        <v>227191</v>
      </c>
      <c r="E569" s="449">
        <v>8</v>
      </c>
      <c r="F569" s="296" t="s">
        <v>52</v>
      </c>
      <c r="G569" s="297" t="s">
        <v>52</v>
      </c>
      <c r="H569" s="298">
        <v>86219</v>
      </c>
      <c r="I569" s="299">
        <v>84041</v>
      </c>
      <c r="J569" s="298">
        <v>21688</v>
      </c>
      <c r="K569" s="299">
        <v>25036</v>
      </c>
      <c r="L569" s="298">
        <v>16535</v>
      </c>
      <c r="M569" s="299">
        <v>13256</v>
      </c>
      <c r="N569" s="298">
        <v>81509</v>
      </c>
      <c r="O569" s="299">
        <v>78328</v>
      </c>
      <c r="P569" s="601">
        <f t="shared" si="159"/>
        <v>205951</v>
      </c>
      <c r="Q569" s="602">
        <f t="shared" si="160"/>
        <v>6865.0333333333338</v>
      </c>
      <c r="R569" s="603">
        <f t="shared" si="161"/>
        <v>200661</v>
      </c>
      <c r="S569" s="604">
        <f t="shared" si="162"/>
        <v>6688.7</v>
      </c>
      <c r="T569" s="298">
        <v>10559</v>
      </c>
      <c r="U569" s="299">
        <v>11886</v>
      </c>
      <c r="V569" s="601">
        <f t="shared" si="163"/>
        <v>205951</v>
      </c>
      <c r="W569" s="605">
        <f t="shared" si="164"/>
        <v>200661</v>
      </c>
      <c r="X569" s="305">
        <v>129448</v>
      </c>
      <c r="Y569" s="440">
        <v>107704</v>
      </c>
      <c r="Z569" s="298">
        <v>68850</v>
      </c>
      <c r="AA569" s="299">
        <v>69304</v>
      </c>
      <c r="AB569" s="298">
        <v>76654</v>
      </c>
      <c r="AC569" s="299">
        <v>51430</v>
      </c>
      <c r="AD569" s="298">
        <v>128582</v>
      </c>
      <c r="AE569" s="299">
        <v>148816</v>
      </c>
      <c r="AF569" s="601">
        <f t="shared" si="165"/>
        <v>403534</v>
      </c>
      <c r="AG569" s="602">
        <f t="shared" si="166"/>
        <v>448.37111111111113</v>
      </c>
      <c r="AH569" s="603">
        <f t="shared" si="167"/>
        <v>377254</v>
      </c>
      <c r="AI569" s="603">
        <f t="shared" si="168"/>
        <v>419.17111111111109</v>
      </c>
      <c r="AJ569" s="298"/>
      <c r="AK569" s="299"/>
      <c r="AL569" s="601">
        <f t="shared" si="169"/>
        <v>0</v>
      </c>
      <c r="AM569" s="604">
        <f t="shared" si="170"/>
        <v>0</v>
      </c>
      <c r="AN569" s="306"/>
      <c r="AO569" s="307"/>
      <c r="AP569" s="298"/>
      <c r="AQ569" s="307"/>
      <c r="AR569" s="298"/>
      <c r="AS569" s="307"/>
      <c r="AT569" s="298"/>
      <c r="AU569" s="307"/>
      <c r="AV569" s="601">
        <f t="shared" si="171"/>
        <v>0</v>
      </c>
      <c r="AW569" s="609">
        <f t="shared" si="172"/>
        <v>0</v>
      </c>
      <c r="AX569" s="603">
        <f t="shared" si="173"/>
        <v>0</v>
      </c>
      <c r="AY569" s="610">
        <f t="shared" si="174"/>
        <v>0</v>
      </c>
      <c r="AZ569" s="611">
        <f t="shared" si="175"/>
        <v>7313.4044444444453</v>
      </c>
      <c r="BA569" s="603">
        <f t="shared" si="176"/>
        <v>7107.8711111111106</v>
      </c>
    </row>
    <row r="570" spans="1:53">
      <c r="A570" s="429" t="s">
        <v>33</v>
      </c>
      <c r="B570" s="454" t="s">
        <v>591</v>
      </c>
      <c r="C570" s="455"/>
      <c r="D570" s="369">
        <v>420398</v>
      </c>
      <c r="E570" s="449">
        <v>8</v>
      </c>
      <c r="F570" s="296" t="s">
        <v>52</v>
      </c>
      <c r="G570" s="297" t="s">
        <v>52</v>
      </c>
      <c r="H570" s="298">
        <v>125391</v>
      </c>
      <c r="I570" s="299">
        <v>129536</v>
      </c>
      <c r="J570" s="298">
        <v>39040</v>
      </c>
      <c r="K570" s="299">
        <v>35283</v>
      </c>
      <c r="L570" s="298">
        <v>5403</v>
      </c>
      <c r="M570" s="299">
        <v>0</v>
      </c>
      <c r="N570" s="298">
        <v>126040</v>
      </c>
      <c r="O570" s="299">
        <v>131155</v>
      </c>
      <c r="P570" s="601">
        <f t="shared" si="159"/>
        <v>295874</v>
      </c>
      <c r="Q570" s="602">
        <f t="shared" si="160"/>
        <v>9862.4666666666672</v>
      </c>
      <c r="R570" s="603">
        <f t="shared" si="161"/>
        <v>295974</v>
      </c>
      <c r="S570" s="604">
        <f t="shared" si="162"/>
        <v>9865.7999999999993</v>
      </c>
      <c r="T570" s="298">
        <v>19417</v>
      </c>
      <c r="U570" s="299">
        <v>22176</v>
      </c>
      <c r="V570" s="601">
        <f t="shared" si="163"/>
        <v>295874</v>
      </c>
      <c r="W570" s="605">
        <f t="shared" si="164"/>
        <v>295974</v>
      </c>
      <c r="X570" s="305">
        <v>24168</v>
      </c>
      <c r="Y570" s="440">
        <v>2896</v>
      </c>
      <c r="Z570" s="298">
        <v>28365</v>
      </c>
      <c r="AA570" s="299">
        <v>4188</v>
      </c>
      <c r="AB570" s="298">
        <v>25928</v>
      </c>
      <c r="AC570" s="299">
        <v>4568</v>
      </c>
      <c r="AD570" s="298">
        <v>19362</v>
      </c>
      <c r="AE570" s="299">
        <v>23839</v>
      </c>
      <c r="AF570" s="601">
        <f t="shared" si="165"/>
        <v>97823</v>
      </c>
      <c r="AG570" s="602">
        <f t="shared" si="166"/>
        <v>108.69222222222223</v>
      </c>
      <c r="AH570" s="603">
        <f t="shared" si="167"/>
        <v>35491</v>
      </c>
      <c r="AI570" s="603">
        <f t="shared" si="168"/>
        <v>39.434444444444445</v>
      </c>
      <c r="AJ570" s="298"/>
      <c r="AK570" s="299"/>
      <c r="AL570" s="601">
        <f t="shared" si="169"/>
        <v>0</v>
      </c>
      <c r="AM570" s="604">
        <f t="shared" si="170"/>
        <v>0</v>
      </c>
      <c r="AN570" s="306"/>
      <c r="AO570" s="307"/>
      <c r="AP570" s="298"/>
      <c r="AQ570" s="307"/>
      <c r="AR570" s="298"/>
      <c r="AS570" s="307"/>
      <c r="AT570" s="298"/>
      <c r="AU570" s="307"/>
      <c r="AV570" s="601">
        <f t="shared" si="171"/>
        <v>0</v>
      </c>
      <c r="AW570" s="609">
        <f t="shared" si="172"/>
        <v>0</v>
      </c>
      <c r="AX570" s="603">
        <f t="shared" si="173"/>
        <v>0</v>
      </c>
      <c r="AY570" s="610">
        <f t="shared" si="174"/>
        <v>0</v>
      </c>
      <c r="AZ570" s="611">
        <f t="shared" si="175"/>
        <v>9971.1588888888891</v>
      </c>
      <c r="BA570" s="603">
        <f t="shared" si="176"/>
        <v>9905.2344444444443</v>
      </c>
    </row>
    <row r="571" spans="1:53">
      <c r="A571" s="369" t="s">
        <v>33</v>
      </c>
      <c r="B571" s="454" t="s">
        <v>592</v>
      </c>
      <c r="C571" s="455"/>
      <c r="D571" s="369">
        <v>246354</v>
      </c>
      <c r="E571" s="449">
        <v>8</v>
      </c>
      <c r="F571" s="296" t="s">
        <v>52</v>
      </c>
      <c r="G571" s="297" t="s">
        <v>52</v>
      </c>
      <c r="H571" s="298">
        <v>70047</v>
      </c>
      <c r="I571" s="299">
        <v>73272</v>
      </c>
      <c r="J571" s="298">
        <v>20443</v>
      </c>
      <c r="K571" s="299">
        <v>21590</v>
      </c>
      <c r="L571" s="298">
        <v>7336</v>
      </c>
      <c r="M571" s="299">
        <v>0</v>
      </c>
      <c r="N571" s="298">
        <v>67279</v>
      </c>
      <c r="O571" s="299">
        <v>71422</v>
      </c>
      <c r="P571" s="601">
        <f t="shared" si="159"/>
        <v>165105</v>
      </c>
      <c r="Q571" s="602">
        <f t="shared" si="160"/>
        <v>5503.5</v>
      </c>
      <c r="R571" s="603">
        <f t="shared" si="161"/>
        <v>166284</v>
      </c>
      <c r="S571" s="604">
        <f t="shared" si="162"/>
        <v>5542.8</v>
      </c>
      <c r="T571" s="298">
        <v>13714</v>
      </c>
      <c r="U571" s="299">
        <v>19330</v>
      </c>
      <c r="V571" s="601">
        <f t="shared" si="163"/>
        <v>165105</v>
      </c>
      <c r="W571" s="605">
        <f t="shared" si="164"/>
        <v>166284</v>
      </c>
      <c r="X571" s="305">
        <v>53540</v>
      </c>
      <c r="Y571" s="440">
        <v>17725</v>
      </c>
      <c r="Z571" s="298">
        <v>66950</v>
      </c>
      <c r="AA571" s="299">
        <v>46645</v>
      </c>
      <c r="AB571" s="298">
        <v>36517</v>
      </c>
      <c r="AC571" s="299">
        <v>64301</v>
      </c>
      <c r="AD571" s="298">
        <v>47291</v>
      </c>
      <c r="AE571" s="299">
        <v>38603</v>
      </c>
      <c r="AF571" s="601">
        <f t="shared" si="165"/>
        <v>204298</v>
      </c>
      <c r="AG571" s="602">
        <f t="shared" si="166"/>
        <v>226.99777777777777</v>
      </c>
      <c r="AH571" s="603">
        <f t="shared" si="167"/>
        <v>167274</v>
      </c>
      <c r="AI571" s="603">
        <f t="shared" si="168"/>
        <v>185.86</v>
      </c>
      <c r="AJ571" s="298"/>
      <c r="AK571" s="299"/>
      <c r="AL571" s="601">
        <f t="shared" si="169"/>
        <v>0</v>
      </c>
      <c r="AM571" s="604">
        <f t="shared" si="170"/>
        <v>0</v>
      </c>
      <c r="AN571" s="306"/>
      <c r="AO571" s="307"/>
      <c r="AP571" s="298"/>
      <c r="AQ571" s="307"/>
      <c r="AR571" s="298"/>
      <c r="AS571" s="307"/>
      <c r="AT571" s="298"/>
      <c r="AU571" s="307"/>
      <c r="AV571" s="601">
        <f t="shared" si="171"/>
        <v>0</v>
      </c>
      <c r="AW571" s="609">
        <f t="shared" si="172"/>
        <v>0</v>
      </c>
      <c r="AX571" s="603">
        <f t="shared" si="173"/>
        <v>0</v>
      </c>
      <c r="AY571" s="610">
        <f t="shared" si="174"/>
        <v>0</v>
      </c>
      <c r="AZ571" s="611">
        <f t="shared" si="175"/>
        <v>5730.4977777777776</v>
      </c>
      <c r="BA571" s="603">
        <f t="shared" si="176"/>
        <v>5728.66</v>
      </c>
    </row>
    <row r="572" spans="1:53">
      <c r="A572" s="369" t="s">
        <v>33</v>
      </c>
      <c r="B572" s="450" t="s">
        <v>593</v>
      </c>
      <c r="C572" s="451"/>
      <c r="D572" s="369">
        <v>227766</v>
      </c>
      <c r="E572" s="449">
        <v>8</v>
      </c>
      <c r="F572" s="296" t="s">
        <v>52</v>
      </c>
      <c r="G572" s="297" t="s">
        <v>52</v>
      </c>
      <c r="H572" s="298">
        <v>142648</v>
      </c>
      <c r="I572" s="299">
        <v>144325</v>
      </c>
      <c r="J572" s="298">
        <v>55616</v>
      </c>
      <c r="K572" s="299">
        <v>54328</v>
      </c>
      <c r="L572" s="298">
        <v>27694</v>
      </c>
      <c r="M572" s="299">
        <v>25301</v>
      </c>
      <c r="N572" s="298">
        <v>124116</v>
      </c>
      <c r="O572" s="299">
        <v>128208</v>
      </c>
      <c r="P572" s="601">
        <f t="shared" si="159"/>
        <v>350074</v>
      </c>
      <c r="Q572" s="602">
        <f t="shared" si="160"/>
        <v>11669.133333333333</v>
      </c>
      <c r="R572" s="603">
        <f t="shared" si="161"/>
        <v>352162</v>
      </c>
      <c r="S572" s="604">
        <f t="shared" si="162"/>
        <v>11738.733333333334</v>
      </c>
      <c r="T572" s="298">
        <v>26011</v>
      </c>
      <c r="U572" s="299">
        <v>31134</v>
      </c>
      <c r="V572" s="601">
        <f t="shared" si="163"/>
        <v>350074</v>
      </c>
      <c r="W572" s="605">
        <f t="shared" si="164"/>
        <v>352162</v>
      </c>
      <c r="X572" s="305">
        <v>166961</v>
      </c>
      <c r="Y572" s="440">
        <v>156660</v>
      </c>
      <c r="Z572" s="298">
        <v>179960</v>
      </c>
      <c r="AA572" s="299">
        <v>166508</v>
      </c>
      <c r="AB572" s="298">
        <v>163334</v>
      </c>
      <c r="AC572" s="299">
        <v>162617</v>
      </c>
      <c r="AD572" s="298">
        <v>230837</v>
      </c>
      <c r="AE572" s="299">
        <v>214981</v>
      </c>
      <c r="AF572" s="601">
        <f t="shared" si="165"/>
        <v>741092</v>
      </c>
      <c r="AG572" s="602">
        <f t="shared" si="166"/>
        <v>823.43555555555554</v>
      </c>
      <c r="AH572" s="603">
        <f t="shared" si="167"/>
        <v>700766</v>
      </c>
      <c r="AI572" s="603">
        <f t="shared" si="168"/>
        <v>778.62888888888892</v>
      </c>
      <c r="AJ572" s="298"/>
      <c r="AK572" s="299"/>
      <c r="AL572" s="601">
        <f t="shared" si="169"/>
        <v>0</v>
      </c>
      <c r="AM572" s="604">
        <f t="shared" si="170"/>
        <v>0</v>
      </c>
      <c r="AN572" s="306"/>
      <c r="AO572" s="307"/>
      <c r="AP572" s="298"/>
      <c r="AQ572" s="307"/>
      <c r="AR572" s="298"/>
      <c r="AS572" s="307"/>
      <c r="AT572" s="298"/>
      <c r="AU572" s="307"/>
      <c r="AV572" s="601">
        <f t="shared" si="171"/>
        <v>0</v>
      </c>
      <c r="AW572" s="609">
        <f t="shared" si="172"/>
        <v>0</v>
      </c>
      <c r="AX572" s="603">
        <f t="shared" si="173"/>
        <v>0</v>
      </c>
      <c r="AY572" s="610">
        <f t="shared" si="174"/>
        <v>0</v>
      </c>
      <c r="AZ572" s="611">
        <f t="shared" si="175"/>
        <v>12492.568888888889</v>
      </c>
      <c r="BA572" s="603">
        <f t="shared" si="176"/>
        <v>12517.362222222222</v>
      </c>
    </row>
    <row r="573" spans="1:53">
      <c r="A573" s="369" t="s">
        <v>33</v>
      </c>
      <c r="B573" s="454" t="s">
        <v>594</v>
      </c>
      <c r="C573" s="455"/>
      <c r="D573" s="369">
        <v>227924</v>
      </c>
      <c r="E573" s="449">
        <v>8</v>
      </c>
      <c r="F573" s="296" t="s">
        <v>52</v>
      </c>
      <c r="G573" s="297" t="s">
        <v>52</v>
      </c>
      <c r="H573" s="298">
        <v>216322</v>
      </c>
      <c r="I573" s="299">
        <v>224466</v>
      </c>
      <c r="J573" s="298">
        <v>62262</v>
      </c>
      <c r="K573" s="299">
        <v>58381</v>
      </c>
      <c r="L573" s="298">
        <v>23243</v>
      </c>
      <c r="M573" s="299">
        <v>0</v>
      </c>
      <c r="N573" s="298">
        <v>199638</v>
      </c>
      <c r="O573" s="299">
        <v>215717</v>
      </c>
      <c r="P573" s="601">
        <f t="shared" si="159"/>
        <v>501465</v>
      </c>
      <c r="Q573" s="602">
        <f t="shared" si="160"/>
        <v>16715.5</v>
      </c>
      <c r="R573" s="603">
        <f t="shared" si="161"/>
        <v>498564</v>
      </c>
      <c r="S573" s="604">
        <f t="shared" si="162"/>
        <v>16618.8</v>
      </c>
      <c r="T573" s="298">
        <v>16550</v>
      </c>
      <c r="U573" s="299">
        <v>21087</v>
      </c>
      <c r="V573" s="601">
        <f t="shared" si="163"/>
        <v>501465</v>
      </c>
      <c r="W573" s="605">
        <f t="shared" si="164"/>
        <v>498564</v>
      </c>
      <c r="X573" s="305">
        <v>112449</v>
      </c>
      <c r="Y573" s="440">
        <v>82479</v>
      </c>
      <c r="Z573" s="298">
        <v>76664</v>
      </c>
      <c r="AA573" s="299">
        <v>70520</v>
      </c>
      <c r="AB573" s="298">
        <v>93271</v>
      </c>
      <c r="AC573" s="299">
        <v>92068</v>
      </c>
      <c r="AD573" s="298">
        <v>93736</v>
      </c>
      <c r="AE573" s="299">
        <v>88207</v>
      </c>
      <c r="AF573" s="601">
        <f t="shared" si="165"/>
        <v>376120</v>
      </c>
      <c r="AG573" s="602">
        <f t="shared" si="166"/>
        <v>417.9111111111111</v>
      </c>
      <c r="AH573" s="603">
        <f t="shared" si="167"/>
        <v>333274</v>
      </c>
      <c r="AI573" s="603">
        <f t="shared" si="168"/>
        <v>370.30444444444447</v>
      </c>
      <c r="AJ573" s="298"/>
      <c r="AK573" s="299"/>
      <c r="AL573" s="601">
        <f t="shared" si="169"/>
        <v>0</v>
      </c>
      <c r="AM573" s="604">
        <f t="shared" si="170"/>
        <v>0</v>
      </c>
      <c r="AN573" s="306"/>
      <c r="AO573" s="307"/>
      <c r="AP573" s="298"/>
      <c r="AQ573" s="307"/>
      <c r="AR573" s="298"/>
      <c r="AS573" s="307"/>
      <c r="AT573" s="298"/>
      <c r="AU573" s="307"/>
      <c r="AV573" s="601">
        <f t="shared" si="171"/>
        <v>0</v>
      </c>
      <c r="AW573" s="609">
        <f t="shared" si="172"/>
        <v>0</v>
      </c>
      <c r="AX573" s="603">
        <f t="shared" si="173"/>
        <v>0</v>
      </c>
      <c r="AY573" s="610">
        <f t="shared" si="174"/>
        <v>0</v>
      </c>
      <c r="AZ573" s="611">
        <f t="shared" si="175"/>
        <v>17133.411111111112</v>
      </c>
      <c r="BA573" s="603">
        <f t="shared" si="176"/>
        <v>16989.104444444445</v>
      </c>
    </row>
    <row r="574" spans="1:53">
      <c r="A574" s="369" t="s">
        <v>33</v>
      </c>
      <c r="B574" s="447" t="s">
        <v>595</v>
      </c>
      <c r="C574" s="448"/>
      <c r="D574" s="369">
        <v>227979</v>
      </c>
      <c r="E574" s="449">
        <v>8</v>
      </c>
      <c r="F574" s="296" t="s">
        <v>52</v>
      </c>
      <c r="G574" s="297" t="s">
        <v>52</v>
      </c>
      <c r="H574" s="298">
        <v>233369</v>
      </c>
      <c r="I574" s="299">
        <v>250133</v>
      </c>
      <c r="J574" s="298">
        <v>71933</v>
      </c>
      <c r="K574" s="299">
        <v>101702</v>
      </c>
      <c r="L574" s="298">
        <v>0</v>
      </c>
      <c r="M574" s="299">
        <v>0</v>
      </c>
      <c r="N574" s="298">
        <v>269795</v>
      </c>
      <c r="O574" s="538">
        <v>248562</v>
      </c>
      <c r="P574" s="601">
        <f t="shared" si="159"/>
        <v>575097</v>
      </c>
      <c r="Q574" s="602">
        <f t="shared" si="160"/>
        <v>19169.900000000001</v>
      </c>
      <c r="R574" s="603">
        <f t="shared" si="161"/>
        <v>600397</v>
      </c>
      <c r="S574" s="604">
        <f t="shared" si="162"/>
        <v>20013.233333333334</v>
      </c>
      <c r="T574" s="298">
        <v>28877</v>
      </c>
      <c r="U574" s="299">
        <v>29013</v>
      </c>
      <c r="V574" s="601">
        <f t="shared" si="163"/>
        <v>575097</v>
      </c>
      <c r="W574" s="605">
        <f t="shared" si="164"/>
        <v>600397</v>
      </c>
      <c r="X574" s="305">
        <v>96373</v>
      </c>
      <c r="Y574" s="440">
        <v>105120</v>
      </c>
      <c r="Z574" s="298">
        <v>72815</v>
      </c>
      <c r="AA574" s="299">
        <v>67954</v>
      </c>
      <c r="AB574" s="298">
        <v>123606</v>
      </c>
      <c r="AC574" s="299">
        <v>104067</v>
      </c>
      <c r="AD574" s="298">
        <v>80210</v>
      </c>
      <c r="AE574" s="299">
        <v>124522</v>
      </c>
      <c r="AF574" s="601">
        <f t="shared" si="165"/>
        <v>373004</v>
      </c>
      <c r="AG574" s="602">
        <f t="shared" si="166"/>
        <v>414.44888888888892</v>
      </c>
      <c r="AH574" s="603">
        <f t="shared" si="167"/>
        <v>401663</v>
      </c>
      <c r="AI574" s="603">
        <f t="shared" si="168"/>
        <v>446.29222222222222</v>
      </c>
      <c r="AJ574" s="298"/>
      <c r="AK574" s="299"/>
      <c r="AL574" s="601">
        <f t="shared" si="169"/>
        <v>0</v>
      </c>
      <c r="AM574" s="604">
        <f t="shared" si="170"/>
        <v>0</v>
      </c>
      <c r="AN574" s="306"/>
      <c r="AO574" s="307"/>
      <c r="AP574" s="298"/>
      <c r="AQ574" s="307"/>
      <c r="AR574" s="298"/>
      <c r="AS574" s="307"/>
      <c r="AT574" s="298"/>
      <c r="AU574" s="307"/>
      <c r="AV574" s="601">
        <f t="shared" si="171"/>
        <v>0</v>
      </c>
      <c r="AW574" s="609">
        <f t="shared" si="172"/>
        <v>0</v>
      </c>
      <c r="AX574" s="603">
        <f t="shared" si="173"/>
        <v>0</v>
      </c>
      <c r="AY574" s="610">
        <f t="shared" si="174"/>
        <v>0</v>
      </c>
      <c r="AZ574" s="611">
        <f t="shared" si="175"/>
        <v>19584.34888888889</v>
      </c>
      <c r="BA574" s="603">
        <f t="shared" si="176"/>
        <v>20459.525555555556</v>
      </c>
    </row>
    <row r="575" spans="1:53">
      <c r="A575" s="369" t="s">
        <v>33</v>
      </c>
      <c r="B575" s="447" t="s">
        <v>596</v>
      </c>
      <c r="C575" s="448"/>
      <c r="D575" s="369">
        <v>228158</v>
      </c>
      <c r="E575" s="449">
        <v>8</v>
      </c>
      <c r="F575" s="296" t="s">
        <v>52</v>
      </c>
      <c r="G575" s="297" t="s">
        <v>52</v>
      </c>
      <c r="H575" s="298">
        <v>95764</v>
      </c>
      <c r="I575" s="299">
        <v>96525</v>
      </c>
      <c r="J575" s="298">
        <v>14825</v>
      </c>
      <c r="K575" s="299">
        <v>14831</v>
      </c>
      <c r="L575" s="298">
        <v>7310</v>
      </c>
      <c r="M575" s="299">
        <v>7200</v>
      </c>
      <c r="N575" s="298">
        <v>99140</v>
      </c>
      <c r="O575" s="538">
        <v>100587</v>
      </c>
      <c r="P575" s="601">
        <f t="shared" si="159"/>
        <v>217039</v>
      </c>
      <c r="Q575" s="602">
        <f t="shared" si="160"/>
        <v>7234.6333333333332</v>
      </c>
      <c r="R575" s="603">
        <f t="shared" si="161"/>
        <v>219143</v>
      </c>
      <c r="S575" s="604">
        <f t="shared" si="162"/>
        <v>7304.7666666666664</v>
      </c>
      <c r="T575" s="298">
        <v>21040</v>
      </c>
      <c r="U575" s="299">
        <v>20907</v>
      </c>
      <c r="V575" s="601">
        <f t="shared" si="163"/>
        <v>217039</v>
      </c>
      <c r="W575" s="605">
        <f t="shared" si="164"/>
        <v>219143</v>
      </c>
      <c r="X575" s="305">
        <v>93341</v>
      </c>
      <c r="Y575" s="440">
        <v>69321</v>
      </c>
      <c r="Z575" s="298">
        <v>91674</v>
      </c>
      <c r="AA575" s="299">
        <v>67577</v>
      </c>
      <c r="AB575" s="298">
        <v>71229</v>
      </c>
      <c r="AC575" s="299">
        <v>57993</v>
      </c>
      <c r="AD575" s="298">
        <v>85525</v>
      </c>
      <c r="AE575" s="299">
        <v>64771</v>
      </c>
      <c r="AF575" s="601">
        <f t="shared" si="165"/>
        <v>341769</v>
      </c>
      <c r="AG575" s="602">
        <f t="shared" si="166"/>
        <v>379.74333333333334</v>
      </c>
      <c r="AH575" s="603">
        <f t="shared" si="167"/>
        <v>259662</v>
      </c>
      <c r="AI575" s="603">
        <f t="shared" si="168"/>
        <v>288.51333333333332</v>
      </c>
      <c r="AJ575" s="298"/>
      <c r="AK575" s="299"/>
      <c r="AL575" s="601">
        <f t="shared" si="169"/>
        <v>0</v>
      </c>
      <c r="AM575" s="604">
        <f t="shared" si="170"/>
        <v>0</v>
      </c>
      <c r="AN575" s="306"/>
      <c r="AO575" s="307"/>
      <c r="AP575" s="298"/>
      <c r="AQ575" s="307"/>
      <c r="AR575" s="298"/>
      <c r="AS575" s="307"/>
      <c r="AT575" s="298"/>
      <c r="AU575" s="307"/>
      <c r="AV575" s="601">
        <f t="shared" si="171"/>
        <v>0</v>
      </c>
      <c r="AW575" s="609">
        <f t="shared" si="172"/>
        <v>0</v>
      </c>
      <c r="AX575" s="603">
        <f t="shared" si="173"/>
        <v>0</v>
      </c>
      <c r="AY575" s="610">
        <f t="shared" si="174"/>
        <v>0</v>
      </c>
      <c r="AZ575" s="611">
        <f t="shared" si="175"/>
        <v>7614.376666666667</v>
      </c>
      <c r="BA575" s="603">
        <f t="shared" si="176"/>
        <v>7593.28</v>
      </c>
    </row>
    <row r="576" spans="1:53">
      <c r="A576" s="369" t="s">
        <v>33</v>
      </c>
      <c r="B576" s="454" t="s">
        <v>597</v>
      </c>
      <c r="C576" s="455"/>
      <c r="D576" s="369">
        <v>227854</v>
      </c>
      <c r="E576" s="449">
        <v>8</v>
      </c>
      <c r="F576" s="296" t="s">
        <v>52</v>
      </c>
      <c r="G576" s="297" t="s">
        <v>52</v>
      </c>
      <c r="H576" s="298">
        <v>97024</v>
      </c>
      <c r="I576" s="299">
        <v>92273</v>
      </c>
      <c r="J576" s="298">
        <v>32560</v>
      </c>
      <c r="K576" s="299">
        <v>26904</v>
      </c>
      <c r="L576" s="298">
        <v>8760</v>
      </c>
      <c r="M576" s="299">
        <v>0</v>
      </c>
      <c r="N576" s="298">
        <v>80171</v>
      </c>
      <c r="O576" s="299">
        <v>79404</v>
      </c>
      <c r="P576" s="601">
        <f t="shared" si="159"/>
        <v>218515</v>
      </c>
      <c r="Q576" s="602">
        <f t="shared" si="160"/>
        <v>7283.833333333333</v>
      </c>
      <c r="R576" s="603">
        <f t="shared" si="161"/>
        <v>198581</v>
      </c>
      <c r="S576" s="604">
        <f t="shared" si="162"/>
        <v>6619.3666666666668</v>
      </c>
      <c r="T576" s="298">
        <v>15340</v>
      </c>
      <c r="U576" s="299">
        <v>16473</v>
      </c>
      <c r="V576" s="601">
        <f t="shared" si="163"/>
        <v>218515</v>
      </c>
      <c r="W576" s="605">
        <f t="shared" si="164"/>
        <v>198581</v>
      </c>
      <c r="X576" s="305">
        <v>35511</v>
      </c>
      <c r="Y576" s="440">
        <v>27166</v>
      </c>
      <c r="Z576" s="298">
        <v>34266</v>
      </c>
      <c r="AA576" s="299">
        <v>28144</v>
      </c>
      <c r="AB576" s="298">
        <v>25749</v>
      </c>
      <c r="AC576" s="299">
        <v>32469</v>
      </c>
      <c r="AD576" s="298">
        <v>20582</v>
      </c>
      <c r="AE576" s="299">
        <v>25235</v>
      </c>
      <c r="AF576" s="601">
        <f t="shared" si="165"/>
        <v>116108</v>
      </c>
      <c r="AG576" s="602">
        <f t="shared" si="166"/>
        <v>129.00888888888889</v>
      </c>
      <c r="AH576" s="603">
        <f t="shared" si="167"/>
        <v>113014</v>
      </c>
      <c r="AI576" s="603">
        <f t="shared" si="168"/>
        <v>125.57111111111111</v>
      </c>
      <c r="AJ576" s="298"/>
      <c r="AK576" s="299"/>
      <c r="AL576" s="601">
        <f t="shared" si="169"/>
        <v>0</v>
      </c>
      <c r="AM576" s="604">
        <f t="shared" si="170"/>
        <v>0</v>
      </c>
      <c r="AN576" s="306"/>
      <c r="AO576" s="307"/>
      <c r="AP576" s="298"/>
      <c r="AQ576" s="307"/>
      <c r="AR576" s="298"/>
      <c r="AS576" s="307"/>
      <c r="AT576" s="298"/>
      <c r="AU576" s="307"/>
      <c r="AV576" s="601">
        <f t="shared" si="171"/>
        <v>0</v>
      </c>
      <c r="AW576" s="609">
        <f t="shared" si="172"/>
        <v>0</v>
      </c>
      <c r="AX576" s="603">
        <f t="shared" si="173"/>
        <v>0</v>
      </c>
      <c r="AY576" s="610">
        <f t="shared" si="174"/>
        <v>0</v>
      </c>
      <c r="AZ576" s="611">
        <f t="shared" si="175"/>
        <v>7412.8422222222216</v>
      </c>
      <c r="BA576" s="603">
        <f t="shared" si="176"/>
        <v>6744.9377777777781</v>
      </c>
    </row>
    <row r="577" spans="1:53">
      <c r="A577" s="429" t="s">
        <v>33</v>
      </c>
      <c r="B577" s="447" t="s">
        <v>598</v>
      </c>
      <c r="C577" s="448"/>
      <c r="D577" s="369">
        <v>228547</v>
      </c>
      <c r="E577" s="449">
        <v>8</v>
      </c>
      <c r="F577" s="296" t="s">
        <v>52</v>
      </c>
      <c r="G577" s="297" t="s">
        <v>52</v>
      </c>
      <c r="H577" s="298">
        <v>398585</v>
      </c>
      <c r="I577" s="299">
        <v>413090</v>
      </c>
      <c r="J577" s="298">
        <v>173087</v>
      </c>
      <c r="K577" s="299">
        <v>182747</v>
      </c>
      <c r="L577" s="298">
        <v>0</v>
      </c>
      <c r="M577" s="299">
        <v>0</v>
      </c>
      <c r="N577" s="298">
        <v>396982</v>
      </c>
      <c r="O577" s="299">
        <v>376822</v>
      </c>
      <c r="P577" s="601">
        <f t="shared" si="159"/>
        <v>968654</v>
      </c>
      <c r="Q577" s="602">
        <f t="shared" si="160"/>
        <v>32288.466666666667</v>
      </c>
      <c r="R577" s="603">
        <f t="shared" si="161"/>
        <v>972659</v>
      </c>
      <c r="S577" s="604">
        <f t="shared" si="162"/>
        <v>32421.966666666667</v>
      </c>
      <c r="T577" s="298">
        <v>35886</v>
      </c>
      <c r="U577" s="299">
        <v>38347</v>
      </c>
      <c r="V577" s="601">
        <f t="shared" si="163"/>
        <v>968654</v>
      </c>
      <c r="W577" s="605">
        <f t="shared" si="164"/>
        <v>972659</v>
      </c>
      <c r="X577" s="305">
        <v>178974</v>
      </c>
      <c r="Y577" s="440">
        <v>183087</v>
      </c>
      <c r="Z577" s="298">
        <v>155540</v>
      </c>
      <c r="AA577" s="299">
        <v>201121</v>
      </c>
      <c r="AB577" s="298">
        <v>133834</v>
      </c>
      <c r="AC577" s="299">
        <v>216806</v>
      </c>
      <c r="AD577" s="298">
        <v>228119</v>
      </c>
      <c r="AE577" s="299">
        <v>269126</v>
      </c>
      <c r="AF577" s="601">
        <f t="shared" si="165"/>
        <v>696467</v>
      </c>
      <c r="AG577" s="602">
        <f t="shared" si="166"/>
        <v>773.85222222222217</v>
      </c>
      <c r="AH577" s="603">
        <f t="shared" si="167"/>
        <v>870140</v>
      </c>
      <c r="AI577" s="603">
        <f t="shared" si="168"/>
        <v>966.82222222222219</v>
      </c>
      <c r="AJ577" s="298"/>
      <c r="AK577" s="299"/>
      <c r="AL577" s="601">
        <f t="shared" si="169"/>
        <v>0</v>
      </c>
      <c r="AM577" s="604">
        <f t="shared" si="170"/>
        <v>0</v>
      </c>
      <c r="AN577" s="306"/>
      <c r="AO577" s="307"/>
      <c r="AP577" s="298"/>
      <c r="AQ577" s="307"/>
      <c r="AR577" s="298"/>
      <c r="AS577" s="307"/>
      <c r="AT577" s="298"/>
      <c r="AU577" s="307"/>
      <c r="AV577" s="601">
        <f t="shared" si="171"/>
        <v>0</v>
      </c>
      <c r="AW577" s="609">
        <f t="shared" si="172"/>
        <v>0</v>
      </c>
      <c r="AX577" s="603">
        <f t="shared" si="173"/>
        <v>0</v>
      </c>
      <c r="AY577" s="610">
        <f t="shared" si="174"/>
        <v>0</v>
      </c>
      <c r="AZ577" s="611">
        <f t="shared" si="175"/>
        <v>33062.318888888891</v>
      </c>
      <c r="BA577" s="603">
        <f t="shared" si="176"/>
        <v>33388.788888888892</v>
      </c>
    </row>
    <row r="578" spans="1:53">
      <c r="A578" s="369" t="s">
        <v>33</v>
      </c>
      <c r="B578" s="447" t="s">
        <v>599</v>
      </c>
      <c r="C578" s="448"/>
      <c r="D578" s="369">
        <v>229072</v>
      </c>
      <c r="E578" s="449">
        <v>8</v>
      </c>
      <c r="F578" s="296" t="s">
        <v>52</v>
      </c>
      <c r="G578" s="297" t="s">
        <v>52</v>
      </c>
      <c r="H578" s="298">
        <v>79459</v>
      </c>
      <c r="I578" s="299">
        <v>84962</v>
      </c>
      <c r="J578" s="298">
        <v>14720</v>
      </c>
      <c r="K578" s="299">
        <v>15022</v>
      </c>
      <c r="L578" s="298">
        <v>9890</v>
      </c>
      <c r="M578" s="299">
        <v>9845</v>
      </c>
      <c r="N578" s="298">
        <v>86537</v>
      </c>
      <c r="O578" s="299">
        <v>83537</v>
      </c>
      <c r="P578" s="601">
        <f t="shared" ref="P578:P641" si="177">SUM(H578,J578,L578,N578)</f>
        <v>190606</v>
      </c>
      <c r="Q578" s="602">
        <f t="shared" ref="Q578:Q641" si="178">+P578/30</f>
        <v>6353.5333333333338</v>
      </c>
      <c r="R578" s="603">
        <f t="shared" ref="R578:R643" si="179">SUM(I578,K578,M578,O578)</f>
        <v>193366</v>
      </c>
      <c r="S578" s="604">
        <f t="shared" ref="S578:S641" si="180">+R578/30</f>
        <v>6445.5333333333338</v>
      </c>
      <c r="T578" s="298">
        <v>16750</v>
      </c>
      <c r="U578" s="299">
        <v>9151</v>
      </c>
      <c r="V578" s="601">
        <f t="shared" ref="V578:V641" si="181">IF(ISBLANK(T578),0,P578)</f>
        <v>190606</v>
      </c>
      <c r="W578" s="605">
        <f t="shared" ref="W578:W641" si="182">IF(ISBLANK(U578),0,R578)</f>
        <v>193366</v>
      </c>
      <c r="X578" s="305">
        <v>19747</v>
      </c>
      <c r="Y578" s="440">
        <v>43101</v>
      </c>
      <c r="Z578" s="298">
        <v>20381</v>
      </c>
      <c r="AA578" s="299">
        <v>18091</v>
      </c>
      <c r="AB578" s="298">
        <v>31949</v>
      </c>
      <c r="AC578" s="299">
        <v>26558</v>
      </c>
      <c r="AD578" s="298">
        <v>37125</v>
      </c>
      <c r="AE578" s="299">
        <v>19882</v>
      </c>
      <c r="AF578" s="601">
        <f t="shared" ref="AF578:AF641" si="183">SUM(X578,Z578,AB578,AD578)</f>
        <v>109202</v>
      </c>
      <c r="AG578" s="602">
        <f t="shared" ref="AG578:AG641" si="184">+AF578/900</f>
        <v>121.33555555555556</v>
      </c>
      <c r="AH578" s="603">
        <f t="shared" ref="AH578:AH641" si="185">SUM(Y578,AA578,AC578,AE578)</f>
        <v>107632</v>
      </c>
      <c r="AI578" s="603">
        <f t="shared" ref="AI578:AI641" si="186">+AH578/900</f>
        <v>119.5911111111111</v>
      </c>
      <c r="AJ578" s="298"/>
      <c r="AK578" s="299"/>
      <c r="AL578" s="601">
        <f t="shared" ref="AL578:AL641" si="187">IF(ISBLANK(AJ578),0,AF578)</f>
        <v>0</v>
      </c>
      <c r="AM578" s="604">
        <f t="shared" ref="AM578:AM641" si="188">IF(ISBLANK(AK578),0,AH578)</f>
        <v>0</v>
      </c>
      <c r="AN578" s="306"/>
      <c r="AO578" s="307"/>
      <c r="AP578" s="298"/>
      <c r="AQ578" s="307"/>
      <c r="AR578" s="298"/>
      <c r="AS578" s="307"/>
      <c r="AT578" s="298"/>
      <c r="AU578" s="307"/>
      <c r="AV578" s="601">
        <f t="shared" ref="AV578:AV641" si="189">SUM(AN578,AP578,AR578,AT578)</f>
        <v>0</v>
      </c>
      <c r="AW578" s="609">
        <f t="shared" ref="AW578:AW641" si="190">+AV578/24</f>
        <v>0</v>
      </c>
      <c r="AX578" s="603">
        <f t="shared" ref="AX578:AX641" si="191">SUM(AO578,AQ578,AS578,AU578)</f>
        <v>0</v>
      </c>
      <c r="AY578" s="610">
        <f t="shared" ref="AY578:AY641" si="192">+AX578/24</f>
        <v>0</v>
      </c>
      <c r="AZ578" s="611">
        <f t="shared" ref="AZ578:AZ641" si="193">SUM(Q578,AG578,AW578)</f>
        <v>6474.8688888888892</v>
      </c>
      <c r="BA578" s="603">
        <f t="shared" ref="BA578:BA641" si="194">SUM(S578,AI578,AY578)</f>
        <v>6565.1244444444446</v>
      </c>
    </row>
    <row r="579" spans="1:53">
      <c r="A579" s="369" t="s">
        <v>33</v>
      </c>
      <c r="B579" s="371" t="s">
        <v>620</v>
      </c>
      <c r="C579" s="487" t="s">
        <v>727</v>
      </c>
      <c r="D579" s="369">
        <v>228680</v>
      </c>
      <c r="E579" s="488">
        <v>8</v>
      </c>
      <c r="F579" s="296" t="s">
        <v>52</v>
      </c>
      <c r="G579" s="297" t="s">
        <v>52</v>
      </c>
      <c r="H579" s="298">
        <v>60332</v>
      </c>
      <c r="I579" s="299">
        <v>57861</v>
      </c>
      <c r="J579" s="298">
        <v>41453</v>
      </c>
      <c r="K579" s="299">
        <v>39433</v>
      </c>
      <c r="L579" s="298">
        <v>0</v>
      </c>
      <c r="M579" s="299">
        <v>0</v>
      </c>
      <c r="N579" s="298">
        <v>61649</v>
      </c>
      <c r="O579" s="299">
        <v>55502</v>
      </c>
      <c r="P579" s="601">
        <f t="shared" si="177"/>
        <v>163434</v>
      </c>
      <c r="Q579" s="602">
        <f t="shared" si="178"/>
        <v>5447.8</v>
      </c>
      <c r="R579" s="603">
        <f t="shared" si="179"/>
        <v>152796</v>
      </c>
      <c r="S579" s="604">
        <f t="shared" si="180"/>
        <v>5093.2</v>
      </c>
      <c r="T579" s="298">
        <v>3806</v>
      </c>
      <c r="U579" s="299">
        <v>4369</v>
      </c>
      <c r="V579" s="601">
        <f t="shared" si="181"/>
        <v>163434</v>
      </c>
      <c r="W579" s="605">
        <f t="shared" si="182"/>
        <v>152796</v>
      </c>
      <c r="X579" s="305">
        <v>5240</v>
      </c>
      <c r="Y579" s="440">
        <v>3404</v>
      </c>
      <c r="Z579" s="298">
        <v>9932</v>
      </c>
      <c r="AA579" s="299">
        <v>3160</v>
      </c>
      <c r="AB579" s="298">
        <v>7792</v>
      </c>
      <c r="AC579" s="299">
        <v>1120</v>
      </c>
      <c r="AD579" s="298">
        <v>3509</v>
      </c>
      <c r="AE579" s="299">
        <v>1439</v>
      </c>
      <c r="AF579" s="601">
        <f t="shared" si="183"/>
        <v>26473</v>
      </c>
      <c r="AG579" s="602">
        <f t="shared" si="184"/>
        <v>29.414444444444445</v>
      </c>
      <c r="AH579" s="603">
        <f t="shared" si="185"/>
        <v>9123</v>
      </c>
      <c r="AI579" s="603">
        <f t="shared" si="186"/>
        <v>10.136666666666667</v>
      </c>
      <c r="AJ579" s="298"/>
      <c r="AK579" s="299"/>
      <c r="AL579" s="601">
        <f t="shared" si="187"/>
        <v>0</v>
      </c>
      <c r="AM579" s="604">
        <f t="shared" si="188"/>
        <v>0</v>
      </c>
      <c r="AN579" s="306"/>
      <c r="AO579" s="307"/>
      <c r="AP579" s="298"/>
      <c r="AQ579" s="307"/>
      <c r="AR579" s="298"/>
      <c r="AS579" s="307"/>
      <c r="AT579" s="298"/>
      <c r="AU579" s="307"/>
      <c r="AV579" s="601">
        <f t="shared" si="189"/>
        <v>0</v>
      </c>
      <c r="AW579" s="609">
        <f t="shared" si="190"/>
        <v>0</v>
      </c>
      <c r="AX579" s="603">
        <f t="shared" si="191"/>
        <v>0</v>
      </c>
      <c r="AY579" s="610">
        <f t="shared" si="192"/>
        <v>0</v>
      </c>
      <c r="AZ579" s="611">
        <f t="shared" si="193"/>
        <v>5477.2144444444448</v>
      </c>
      <c r="BA579" s="603">
        <f t="shared" si="194"/>
        <v>5103.3366666666661</v>
      </c>
    </row>
    <row r="580" spans="1:53">
      <c r="A580" s="369" t="s">
        <v>33</v>
      </c>
      <c r="B580" s="371" t="s">
        <v>621</v>
      </c>
      <c r="C580" s="487" t="s">
        <v>727</v>
      </c>
      <c r="D580" s="369">
        <v>225308</v>
      </c>
      <c r="E580" s="488">
        <v>8</v>
      </c>
      <c r="F580" s="296" t="s">
        <v>52</v>
      </c>
      <c r="G580" s="297" t="s">
        <v>52</v>
      </c>
      <c r="H580" s="298">
        <v>68075</v>
      </c>
      <c r="I580" s="299">
        <v>71262</v>
      </c>
      <c r="J580" s="298">
        <v>16137</v>
      </c>
      <c r="K580" s="299">
        <v>16884</v>
      </c>
      <c r="L580" s="298">
        <v>11315</v>
      </c>
      <c r="M580" s="299">
        <v>10374</v>
      </c>
      <c r="N580" s="298">
        <v>70587</v>
      </c>
      <c r="O580" s="299">
        <v>69310</v>
      </c>
      <c r="P580" s="601">
        <f t="shared" si="177"/>
        <v>166114</v>
      </c>
      <c r="Q580" s="602">
        <f t="shared" si="178"/>
        <v>5537.1333333333332</v>
      </c>
      <c r="R580" s="603">
        <f t="shared" si="179"/>
        <v>167830</v>
      </c>
      <c r="S580" s="604">
        <f t="shared" si="180"/>
        <v>5594.333333333333</v>
      </c>
      <c r="T580" s="298">
        <v>15747</v>
      </c>
      <c r="U580" s="299">
        <v>14924</v>
      </c>
      <c r="V580" s="601">
        <f t="shared" si="181"/>
        <v>166114</v>
      </c>
      <c r="W580" s="605">
        <f t="shared" si="182"/>
        <v>167830</v>
      </c>
      <c r="X580" s="305">
        <v>55888</v>
      </c>
      <c r="Y580" s="440">
        <v>41616</v>
      </c>
      <c r="Z580" s="298">
        <v>54132</v>
      </c>
      <c r="AA580" s="299">
        <v>46944</v>
      </c>
      <c r="AB580" s="298">
        <v>45733</v>
      </c>
      <c r="AC580" s="299">
        <v>35156</v>
      </c>
      <c r="AD580" s="298">
        <v>63752</v>
      </c>
      <c r="AE580" s="299">
        <v>89595</v>
      </c>
      <c r="AF580" s="601">
        <f t="shared" si="183"/>
        <v>219505</v>
      </c>
      <c r="AG580" s="602">
        <f t="shared" si="184"/>
        <v>243.89444444444445</v>
      </c>
      <c r="AH580" s="603">
        <f t="shared" si="185"/>
        <v>213311</v>
      </c>
      <c r="AI580" s="603">
        <f t="shared" si="186"/>
        <v>237.01222222222222</v>
      </c>
      <c r="AJ580" s="298"/>
      <c r="AK580" s="299"/>
      <c r="AL580" s="601">
        <f t="shared" si="187"/>
        <v>0</v>
      </c>
      <c r="AM580" s="604">
        <f t="shared" si="188"/>
        <v>0</v>
      </c>
      <c r="AN580" s="306"/>
      <c r="AO580" s="307"/>
      <c r="AP580" s="298"/>
      <c r="AQ580" s="307"/>
      <c r="AR580" s="298"/>
      <c r="AS580" s="307"/>
      <c r="AT580" s="298"/>
      <c r="AU580" s="307"/>
      <c r="AV580" s="601">
        <f t="shared" si="189"/>
        <v>0</v>
      </c>
      <c r="AW580" s="609">
        <f t="shared" si="190"/>
        <v>0</v>
      </c>
      <c r="AX580" s="603">
        <f t="shared" si="191"/>
        <v>0</v>
      </c>
      <c r="AY580" s="610">
        <f t="shared" si="192"/>
        <v>0</v>
      </c>
      <c r="AZ580" s="611">
        <f t="shared" si="193"/>
        <v>5781.0277777777774</v>
      </c>
      <c r="BA580" s="603">
        <f t="shared" si="194"/>
        <v>5831.3455555555556</v>
      </c>
    </row>
    <row r="581" spans="1:53">
      <c r="A581" s="369" t="s">
        <v>33</v>
      </c>
      <c r="B581" s="447" t="s">
        <v>600</v>
      </c>
      <c r="C581" s="448"/>
      <c r="D581" s="369">
        <v>229355</v>
      </c>
      <c r="E581" s="449">
        <v>8</v>
      </c>
      <c r="F581" s="296" t="s">
        <v>52</v>
      </c>
      <c r="G581" s="297" t="s">
        <v>52</v>
      </c>
      <c r="H581" s="298">
        <v>105356</v>
      </c>
      <c r="I581" s="299">
        <v>115038</v>
      </c>
      <c r="J581" s="298">
        <v>25189</v>
      </c>
      <c r="K581" s="299">
        <v>19629</v>
      </c>
      <c r="L581" s="298">
        <v>8442</v>
      </c>
      <c r="M581" s="299">
        <v>8570</v>
      </c>
      <c r="N581" s="298">
        <v>120181</v>
      </c>
      <c r="O581" s="299">
        <v>116545</v>
      </c>
      <c r="P581" s="601">
        <f t="shared" si="177"/>
        <v>259168</v>
      </c>
      <c r="Q581" s="602">
        <f t="shared" si="178"/>
        <v>8638.9333333333325</v>
      </c>
      <c r="R581" s="603">
        <f t="shared" si="179"/>
        <v>259782</v>
      </c>
      <c r="S581" s="604">
        <f t="shared" si="180"/>
        <v>8659.4</v>
      </c>
      <c r="T581" s="298">
        <v>13943</v>
      </c>
      <c r="U581" s="299">
        <v>15229</v>
      </c>
      <c r="V581" s="601">
        <f t="shared" si="181"/>
        <v>259168</v>
      </c>
      <c r="W581" s="605">
        <f t="shared" si="182"/>
        <v>259782</v>
      </c>
      <c r="X581" s="305">
        <v>80585</v>
      </c>
      <c r="Y581" s="440">
        <v>69876</v>
      </c>
      <c r="Z581" s="298">
        <v>87735</v>
      </c>
      <c r="AA581" s="299">
        <v>71986</v>
      </c>
      <c r="AB581" s="298">
        <v>70168</v>
      </c>
      <c r="AC581" s="299">
        <v>68230</v>
      </c>
      <c r="AD581" s="298">
        <v>74079</v>
      </c>
      <c r="AE581" s="299">
        <v>64346</v>
      </c>
      <c r="AF581" s="601">
        <f t="shared" si="183"/>
        <v>312567</v>
      </c>
      <c r="AG581" s="602">
        <f t="shared" si="184"/>
        <v>347.29666666666668</v>
      </c>
      <c r="AH581" s="603">
        <f t="shared" si="185"/>
        <v>274438</v>
      </c>
      <c r="AI581" s="603">
        <f t="shared" si="186"/>
        <v>304.93111111111114</v>
      </c>
      <c r="AJ581" s="298"/>
      <c r="AK581" s="299"/>
      <c r="AL581" s="601">
        <f t="shared" si="187"/>
        <v>0</v>
      </c>
      <c r="AM581" s="604">
        <f t="shared" si="188"/>
        <v>0</v>
      </c>
      <c r="AN581" s="306"/>
      <c r="AO581" s="307"/>
      <c r="AP581" s="298"/>
      <c r="AQ581" s="307"/>
      <c r="AR581" s="298"/>
      <c r="AS581" s="307"/>
      <c r="AT581" s="298"/>
      <c r="AU581" s="307"/>
      <c r="AV581" s="601">
        <f t="shared" si="189"/>
        <v>0</v>
      </c>
      <c r="AW581" s="609">
        <f t="shared" si="190"/>
        <v>0</v>
      </c>
      <c r="AX581" s="603">
        <f t="shared" si="191"/>
        <v>0</v>
      </c>
      <c r="AY581" s="610">
        <f t="shared" si="192"/>
        <v>0</v>
      </c>
      <c r="AZ581" s="611">
        <f t="shared" si="193"/>
        <v>8986.23</v>
      </c>
      <c r="BA581" s="603">
        <f t="shared" si="194"/>
        <v>8964.3311111111107</v>
      </c>
    </row>
    <row r="582" spans="1:53">
      <c r="A582" s="369" t="s">
        <v>33</v>
      </c>
      <c r="B582" s="447" t="s">
        <v>601</v>
      </c>
      <c r="C582" s="448"/>
      <c r="D582" s="369">
        <v>222567</v>
      </c>
      <c r="E582" s="449">
        <v>9</v>
      </c>
      <c r="F582" s="296" t="s">
        <v>52</v>
      </c>
      <c r="G582" s="297" t="s">
        <v>52</v>
      </c>
      <c r="H582" s="298">
        <v>44727</v>
      </c>
      <c r="I582" s="299">
        <v>44996</v>
      </c>
      <c r="J582" s="298">
        <v>20223</v>
      </c>
      <c r="K582" s="299">
        <v>18141</v>
      </c>
      <c r="L582" s="298">
        <v>0</v>
      </c>
      <c r="M582" s="299">
        <v>0</v>
      </c>
      <c r="N582" s="298">
        <v>46517</v>
      </c>
      <c r="O582" s="299">
        <v>43441</v>
      </c>
      <c r="P582" s="601">
        <f t="shared" si="177"/>
        <v>111467</v>
      </c>
      <c r="Q582" s="602">
        <f t="shared" si="178"/>
        <v>3715.5666666666666</v>
      </c>
      <c r="R582" s="603">
        <f t="shared" si="179"/>
        <v>106578</v>
      </c>
      <c r="S582" s="604">
        <f t="shared" si="180"/>
        <v>3552.6</v>
      </c>
      <c r="T582" s="298">
        <v>13673</v>
      </c>
      <c r="U582" s="299">
        <v>12255</v>
      </c>
      <c r="V582" s="601">
        <f t="shared" si="181"/>
        <v>111467</v>
      </c>
      <c r="W582" s="605">
        <f t="shared" si="182"/>
        <v>106578</v>
      </c>
      <c r="X582" s="305">
        <v>28460</v>
      </c>
      <c r="Y582" s="440">
        <v>24522</v>
      </c>
      <c r="Z582" s="298">
        <v>29894</v>
      </c>
      <c r="AA582" s="299">
        <v>21176</v>
      </c>
      <c r="AB582" s="298">
        <v>41690</v>
      </c>
      <c r="AC582" s="299">
        <v>23235</v>
      </c>
      <c r="AD582" s="298">
        <v>33080</v>
      </c>
      <c r="AE582" s="299">
        <v>27749</v>
      </c>
      <c r="AF582" s="601">
        <f t="shared" si="183"/>
        <v>133124</v>
      </c>
      <c r="AG582" s="602">
        <f t="shared" si="184"/>
        <v>147.91555555555556</v>
      </c>
      <c r="AH582" s="603">
        <f t="shared" si="185"/>
        <v>96682</v>
      </c>
      <c r="AI582" s="603">
        <f t="shared" si="186"/>
        <v>107.42444444444445</v>
      </c>
      <c r="AJ582" s="298"/>
      <c r="AK582" s="299"/>
      <c r="AL582" s="601">
        <f t="shared" si="187"/>
        <v>0</v>
      </c>
      <c r="AM582" s="604">
        <f t="shared" si="188"/>
        <v>0</v>
      </c>
      <c r="AN582" s="306"/>
      <c r="AO582" s="307"/>
      <c r="AP582" s="298"/>
      <c r="AQ582" s="307"/>
      <c r="AR582" s="298"/>
      <c r="AS582" s="307"/>
      <c r="AT582" s="298"/>
      <c r="AU582" s="307"/>
      <c r="AV582" s="601">
        <f t="shared" si="189"/>
        <v>0</v>
      </c>
      <c r="AW582" s="609">
        <f t="shared" si="190"/>
        <v>0</v>
      </c>
      <c r="AX582" s="603">
        <f t="shared" si="191"/>
        <v>0</v>
      </c>
      <c r="AY582" s="610">
        <f t="shared" si="192"/>
        <v>0</v>
      </c>
      <c r="AZ582" s="611">
        <f t="shared" si="193"/>
        <v>3863.4822222222219</v>
      </c>
      <c r="BA582" s="603">
        <f t="shared" si="194"/>
        <v>3660.0244444444443</v>
      </c>
    </row>
    <row r="583" spans="1:53">
      <c r="A583" s="369" t="s">
        <v>33</v>
      </c>
      <c r="B583" s="447" t="s">
        <v>602</v>
      </c>
      <c r="C583" s="448"/>
      <c r="D583" s="369">
        <v>222822</v>
      </c>
      <c r="E583" s="449">
        <v>9</v>
      </c>
      <c r="F583" s="296" t="s">
        <v>52</v>
      </c>
      <c r="G583" s="297" t="s">
        <v>52</v>
      </c>
      <c r="H583" s="298">
        <v>47197</v>
      </c>
      <c r="I583" s="299">
        <v>49314</v>
      </c>
      <c r="J583" s="298">
        <v>9435</v>
      </c>
      <c r="K583" s="299">
        <v>9073</v>
      </c>
      <c r="L583" s="298">
        <v>4351</v>
      </c>
      <c r="M583" s="299">
        <v>3779</v>
      </c>
      <c r="N583" s="298">
        <v>53295</v>
      </c>
      <c r="O583" s="299">
        <v>51730</v>
      </c>
      <c r="P583" s="601">
        <f t="shared" si="177"/>
        <v>114278</v>
      </c>
      <c r="Q583" s="602">
        <f t="shared" si="178"/>
        <v>3809.2666666666669</v>
      </c>
      <c r="R583" s="603">
        <f t="shared" si="179"/>
        <v>113896</v>
      </c>
      <c r="S583" s="604">
        <f t="shared" si="180"/>
        <v>3796.5333333333333</v>
      </c>
      <c r="T583" s="298">
        <v>12671</v>
      </c>
      <c r="U583" s="299">
        <v>13855</v>
      </c>
      <c r="V583" s="601">
        <f t="shared" si="181"/>
        <v>114278</v>
      </c>
      <c r="W583" s="605">
        <f t="shared" si="182"/>
        <v>113896</v>
      </c>
      <c r="X583" s="305">
        <v>31994</v>
      </c>
      <c r="Y583" s="440">
        <v>83343</v>
      </c>
      <c r="Z583" s="298">
        <v>100018</v>
      </c>
      <c r="AA583" s="299">
        <v>30693</v>
      </c>
      <c r="AB583" s="298">
        <v>99549</v>
      </c>
      <c r="AC583" s="299">
        <v>74856</v>
      </c>
      <c r="AD583" s="298">
        <v>31434</v>
      </c>
      <c r="AE583" s="299">
        <v>29087</v>
      </c>
      <c r="AF583" s="601">
        <f t="shared" si="183"/>
        <v>262995</v>
      </c>
      <c r="AG583" s="602">
        <f t="shared" si="184"/>
        <v>292.21666666666664</v>
      </c>
      <c r="AH583" s="603">
        <f t="shared" si="185"/>
        <v>217979</v>
      </c>
      <c r="AI583" s="603">
        <f t="shared" si="186"/>
        <v>242.19888888888889</v>
      </c>
      <c r="AJ583" s="298"/>
      <c r="AK583" s="299"/>
      <c r="AL583" s="601">
        <f t="shared" si="187"/>
        <v>0</v>
      </c>
      <c r="AM583" s="604">
        <f t="shared" si="188"/>
        <v>0</v>
      </c>
      <c r="AN583" s="306"/>
      <c r="AO583" s="307"/>
      <c r="AP583" s="298"/>
      <c r="AQ583" s="307"/>
      <c r="AR583" s="298"/>
      <c r="AS583" s="307"/>
      <c r="AT583" s="298"/>
      <c r="AU583" s="307"/>
      <c r="AV583" s="601">
        <f t="shared" si="189"/>
        <v>0</v>
      </c>
      <c r="AW583" s="609">
        <f t="shared" si="190"/>
        <v>0</v>
      </c>
      <c r="AX583" s="603">
        <f t="shared" si="191"/>
        <v>0</v>
      </c>
      <c r="AY583" s="610">
        <f t="shared" si="192"/>
        <v>0</v>
      </c>
      <c r="AZ583" s="611">
        <f t="shared" si="193"/>
        <v>4101.4833333333336</v>
      </c>
      <c r="BA583" s="603">
        <f t="shared" si="194"/>
        <v>4038.7322222222224</v>
      </c>
    </row>
    <row r="584" spans="1:53">
      <c r="A584" s="369" t="s">
        <v>33</v>
      </c>
      <c r="B584" s="456" t="s">
        <v>603</v>
      </c>
      <c r="C584" s="457"/>
      <c r="D584" s="369">
        <v>223773</v>
      </c>
      <c r="E584" s="449">
        <v>9</v>
      </c>
      <c r="F584" s="296" t="s">
        <v>52</v>
      </c>
      <c r="G584" s="297" t="s">
        <v>52</v>
      </c>
      <c r="H584" s="298">
        <v>45775</v>
      </c>
      <c r="I584" s="299">
        <v>45892</v>
      </c>
      <c r="J584" s="298">
        <v>14183</v>
      </c>
      <c r="K584" s="299">
        <v>16092</v>
      </c>
      <c r="L584" s="298">
        <v>8858</v>
      </c>
      <c r="M584" s="299">
        <v>7338</v>
      </c>
      <c r="N584" s="298">
        <v>41826</v>
      </c>
      <c r="O584" s="299">
        <v>42646</v>
      </c>
      <c r="P584" s="601">
        <f t="shared" si="177"/>
        <v>110642</v>
      </c>
      <c r="Q584" s="602">
        <f t="shared" si="178"/>
        <v>3688.0666666666666</v>
      </c>
      <c r="R584" s="603">
        <f t="shared" si="179"/>
        <v>111968</v>
      </c>
      <c r="S584" s="604">
        <f t="shared" si="180"/>
        <v>3732.2666666666669</v>
      </c>
      <c r="T584" s="298">
        <v>9442</v>
      </c>
      <c r="U584" s="299">
        <v>13130</v>
      </c>
      <c r="V584" s="601">
        <f t="shared" si="181"/>
        <v>110642</v>
      </c>
      <c r="W584" s="605">
        <f t="shared" si="182"/>
        <v>111968</v>
      </c>
      <c r="X584" s="305">
        <v>74381</v>
      </c>
      <c r="Y584" s="440">
        <v>48657</v>
      </c>
      <c r="Z584" s="298">
        <v>102193</v>
      </c>
      <c r="AA584" s="299">
        <v>67531</v>
      </c>
      <c r="AB584" s="298">
        <v>73281</v>
      </c>
      <c r="AC584" s="299">
        <v>37573</v>
      </c>
      <c r="AD584" s="298">
        <v>87214</v>
      </c>
      <c r="AE584" s="299">
        <v>52978</v>
      </c>
      <c r="AF584" s="601">
        <f t="shared" si="183"/>
        <v>337069</v>
      </c>
      <c r="AG584" s="602">
        <f t="shared" si="184"/>
        <v>374.52111111111111</v>
      </c>
      <c r="AH584" s="603">
        <f t="shared" si="185"/>
        <v>206739</v>
      </c>
      <c r="AI584" s="603">
        <f t="shared" si="186"/>
        <v>229.71</v>
      </c>
      <c r="AJ584" s="298"/>
      <c r="AK584" s="299"/>
      <c r="AL584" s="601">
        <f t="shared" si="187"/>
        <v>0</v>
      </c>
      <c r="AM584" s="604">
        <f t="shared" si="188"/>
        <v>0</v>
      </c>
      <c r="AN584" s="306"/>
      <c r="AO584" s="307"/>
      <c r="AP584" s="298"/>
      <c r="AQ584" s="307"/>
      <c r="AR584" s="298"/>
      <c r="AS584" s="307"/>
      <c r="AT584" s="298"/>
      <c r="AU584" s="307"/>
      <c r="AV584" s="601">
        <f t="shared" si="189"/>
        <v>0</v>
      </c>
      <c r="AW584" s="609">
        <f t="shared" si="190"/>
        <v>0</v>
      </c>
      <c r="AX584" s="603">
        <f t="shared" si="191"/>
        <v>0</v>
      </c>
      <c r="AY584" s="610">
        <f t="shared" si="192"/>
        <v>0</v>
      </c>
      <c r="AZ584" s="611">
        <f t="shared" si="193"/>
        <v>4062.5877777777778</v>
      </c>
      <c r="BA584" s="603">
        <f t="shared" si="194"/>
        <v>3961.9766666666669</v>
      </c>
    </row>
    <row r="585" spans="1:53">
      <c r="A585" s="369" t="s">
        <v>33</v>
      </c>
      <c r="B585" s="447" t="s">
        <v>604</v>
      </c>
      <c r="C585" s="448"/>
      <c r="D585" s="369">
        <v>223898</v>
      </c>
      <c r="E585" s="449">
        <v>9</v>
      </c>
      <c r="F585" s="296" t="s">
        <v>52</v>
      </c>
      <c r="G585" s="297" t="s">
        <v>52</v>
      </c>
      <c r="H585" s="298">
        <v>40994</v>
      </c>
      <c r="I585" s="299">
        <v>42604</v>
      </c>
      <c r="J585" s="298">
        <v>7276</v>
      </c>
      <c r="K585" s="299">
        <v>7171</v>
      </c>
      <c r="L585" s="298">
        <v>2023</v>
      </c>
      <c r="M585" s="299">
        <v>2693</v>
      </c>
      <c r="N585" s="298">
        <v>45006</v>
      </c>
      <c r="O585" s="299">
        <v>42100</v>
      </c>
      <c r="P585" s="601">
        <f t="shared" si="177"/>
        <v>95299</v>
      </c>
      <c r="Q585" s="602">
        <f t="shared" si="178"/>
        <v>3176.6333333333332</v>
      </c>
      <c r="R585" s="603">
        <f t="shared" si="179"/>
        <v>94568</v>
      </c>
      <c r="S585" s="604">
        <f t="shared" si="180"/>
        <v>3152.2666666666669</v>
      </c>
      <c r="T585" s="298">
        <v>4010</v>
      </c>
      <c r="U585" s="299">
        <v>7241</v>
      </c>
      <c r="V585" s="601">
        <f t="shared" si="181"/>
        <v>95299</v>
      </c>
      <c r="W585" s="605">
        <f t="shared" si="182"/>
        <v>94568</v>
      </c>
      <c r="X585" s="305">
        <v>6480</v>
      </c>
      <c r="Y585" s="440">
        <v>1900</v>
      </c>
      <c r="Z585" s="298">
        <v>5424</v>
      </c>
      <c r="AA585" s="299">
        <v>1850</v>
      </c>
      <c r="AB585" s="298">
        <v>1666</v>
      </c>
      <c r="AC585" s="299">
        <v>608</v>
      </c>
      <c r="AD585" s="298">
        <v>1900</v>
      </c>
      <c r="AE585" s="299">
        <v>1828</v>
      </c>
      <c r="AF585" s="601">
        <f t="shared" si="183"/>
        <v>15470</v>
      </c>
      <c r="AG585" s="602">
        <f t="shared" si="184"/>
        <v>17.18888888888889</v>
      </c>
      <c r="AH585" s="603">
        <f t="shared" si="185"/>
        <v>6186</v>
      </c>
      <c r="AI585" s="603">
        <f t="shared" si="186"/>
        <v>6.8733333333333331</v>
      </c>
      <c r="AJ585" s="298"/>
      <c r="AK585" s="299"/>
      <c r="AL585" s="601">
        <f t="shared" si="187"/>
        <v>0</v>
      </c>
      <c r="AM585" s="604">
        <f t="shared" si="188"/>
        <v>0</v>
      </c>
      <c r="AN585" s="306"/>
      <c r="AO585" s="307"/>
      <c r="AP585" s="298"/>
      <c r="AQ585" s="307"/>
      <c r="AR585" s="298"/>
      <c r="AS585" s="307"/>
      <c r="AT585" s="298"/>
      <c r="AU585" s="307"/>
      <c r="AV585" s="601">
        <f t="shared" si="189"/>
        <v>0</v>
      </c>
      <c r="AW585" s="609">
        <f t="shared" si="190"/>
        <v>0</v>
      </c>
      <c r="AX585" s="603">
        <f t="shared" si="191"/>
        <v>0</v>
      </c>
      <c r="AY585" s="610">
        <f t="shared" si="192"/>
        <v>0</v>
      </c>
      <c r="AZ585" s="611">
        <f t="shared" si="193"/>
        <v>3193.8222222222221</v>
      </c>
      <c r="BA585" s="603">
        <f t="shared" si="194"/>
        <v>3159.1400000000003</v>
      </c>
    </row>
    <row r="586" spans="1:53">
      <c r="A586" s="369" t="s">
        <v>33</v>
      </c>
      <c r="B586" s="447" t="s">
        <v>605</v>
      </c>
      <c r="C586" s="448"/>
      <c r="D586" s="369">
        <v>223320</v>
      </c>
      <c r="E586" s="449">
        <v>9</v>
      </c>
      <c r="F586" s="296" t="s">
        <v>52</v>
      </c>
      <c r="G586" s="297" t="s">
        <v>52</v>
      </c>
      <c r="H586" s="298">
        <v>35006</v>
      </c>
      <c r="I586" s="299">
        <v>34519</v>
      </c>
      <c r="J586" s="298">
        <v>10251</v>
      </c>
      <c r="K586" s="299">
        <v>9754</v>
      </c>
      <c r="L586" s="298">
        <v>2961</v>
      </c>
      <c r="M586" s="299">
        <v>3006</v>
      </c>
      <c r="N586" s="298">
        <v>37203</v>
      </c>
      <c r="O586" s="299">
        <v>32337</v>
      </c>
      <c r="P586" s="601">
        <f t="shared" si="177"/>
        <v>85421</v>
      </c>
      <c r="Q586" s="602">
        <f t="shared" si="178"/>
        <v>2847.3666666666668</v>
      </c>
      <c r="R586" s="603">
        <f t="shared" si="179"/>
        <v>79616</v>
      </c>
      <c r="S586" s="604">
        <f t="shared" si="180"/>
        <v>2653.8666666666668</v>
      </c>
      <c r="T586" s="298">
        <v>12915</v>
      </c>
      <c r="U586" s="299">
        <v>14910</v>
      </c>
      <c r="V586" s="601">
        <f t="shared" si="181"/>
        <v>85421</v>
      </c>
      <c r="W586" s="605">
        <f t="shared" si="182"/>
        <v>79616</v>
      </c>
      <c r="X586" s="305">
        <v>25471</v>
      </c>
      <c r="Y586" s="440">
        <v>39911</v>
      </c>
      <c r="Z586" s="298">
        <v>54226</v>
      </c>
      <c r="AA586" s="299">
        <v>67854</v>
      </c>
      <c r="AB586" s="298">
        <v>54674</v>
      </c>
      <c r="AC586" s="299">
        <v>82344</v>
      </c>
      <c r="AD586" s="298">
        <v>40929</v>
      </c>
      <c r="AE586" s="299">
        <v>65765</v>
      </c>
      <c r="AF586" s="601">
        <f t="shared" si="183"/>
        <v>175300</v>
      </c>
      <c r="AG586" s="602">
        <f t="shared" si="184"/>
        <v>194.77777777777777</v>
      </c>
      <c r="AH586" s="603">
        <f t="shared" si="185"/>
        <v>255874</v>
      </c>
      <c r="AI586" s="603">
        <f t="shared" si="186"/>
        <v>284.30444444444447</v>
      </c>
      <c r="AJ586" s="298"/>
      <c r="AK586" s="299"/>
      <c r="AL586" s="601">
        <f t="shared" si="187"/>
        <v>0</v>
      </c>
      <c r="AM586" s="604">
        <f t="shared" si="188"/>
        <v>0</v>
      </c>
      <c r="AN586" s="306"/>
      <c r="AO586" s="307"/>
      <c r="AP586" s="298"/>
      <c r="AQ586" s="307"/>
      <c r="AR586" s="298"/>
      <c r="AS586" s="307"/>
      <c r="AT586" s="298"/>
      <c r="AU586" s="307"/>
      <c r="AV586" s="601">
        <f t="shared" si="189"/>
        <v>0</v>
      </c>
      <c r="AW586" s="609">
        <f t="shared" si="190"/>
        <v>0</v>
      </c>
      <c r="AX586" s="603">
        <f t="shared" si="191"/>
        <v>0</v>
      </c>
      <c r="AY586" s="610">
        <f t="shared" si="192"/>
        <v>0</v>
      </c>
      <c r="AZ586" s="611">
        <f t="shared" si="193"/>
        <v>3042.1444444444446</v>
      </c>
      <c r="BA586" s="603">
        <f t="shared" si="194"/>
        <v>2938.1711111111113</v>
      </c>
    </row>
    <row r="587" spans="1:53">
      <c r="A587" s="369" t="s">
        <v>33</v>
      </c>
      <c r="B587" s="447" t="s">
        <v>606</v>
      </c>
      <c r="C587" s="448"/>
      <c r="D587" s="369">
        <v>226408</v>
      </c>
      <c r="E587" s="449">
        <v>9</v>
      </c>
      <c r="F587" s="296" t="s">
        <v>52</v>
      </c>
      <c r="G587" s="297" t="s">
        <v>52</v>
      </c>
      <c r="H587" s="298">
        <v>35496</v>
      </c>
      <c r="I587" s="299">
        <v>36112</v>
      </c>
      <c r="J587" s="298">
        <v>8725</v>
      </c>
      <c r="K587" s="299">
        <v>9727</v>
      </c>
      <c r="L587" s="298">
        <v>7822</v>
      </c>
      <c r="M587" s="299">
        <v>7532</v>
      </c>
      <c r="N587" s="298">
        <v>35705</v>
      </c>
      <c r="O587" s="299">
        <v>33935</v>
      </c>
      <c r="P587" s="601">
        <f t="shared" si="177"/>
        <v>87748</v>
      </c>
      <c r="Q587" s="602">
        <f t="shared" si="178"/>
        <v>2924.9333333333334</v>
      </c>
      <c r="R587" s="603">
        <f t="shared" si="179"/>
        <v>87306</v>
      </c>
      <c r="S587" s="604">
        <f t="shared" si="180"/>
        <v>2910.2</v>
      </c>
      <c r="T587" s="298">
        <v>7171</v>
      </c>
      <c r="U587" s="299">
        <v>8066</v>
      </c>
      <c r="V587" s="601">
        <f t="shared" si="181"/>
        <v>87748</v>
      </c>
      <c r="W587" s="605">
        <f t="shared" si="182"/>
        <v>87306</v>
      </c>
      <c r="X587" s="305">
        <v>70285</v>
      </c>
      <c r="Y587" s="440">
        <v>53328</v>
      </c>
      <c r="Z587" s="298">
        <v>65267</v>
      </c>
      <c r="AA587" s="299">
        <v>36974</v>
      </c>
      <c r="AB587" s="298">
        <v>63442</v>
      </c>
      <c r="AC587" s="299">
        <v>52758</v>
      </c>
      <c r="AD587" s="298">
        <v>63027</v>
      </c>
      <c r="AE587" s="299">
        <v>48765</v>
      </c>
      <c r="AF587" s="601">
        <f t="shared" si="183"/>
        <v>262021</v>
      </c>
      <c r="AG587" s="602">
        <f t="shared" si="184"/>
        <v>291.13444444444445</v>
      </c>
      <c r="AH587" s="603">
        <f t="shared" si="185"/>
        <v>191825</v>
      </c>
      <c r="AI587" s="603">
        <f t="shared" si="186"/>
        <v>213.13888888888889</v>
      </c>
      <c r="AJ587" s="298"/>
      <c r="AK587" s="299"/>
      <c r="AL587" s="601">
        <f t="shared" si="187"/>
        <v>0</v>
      </c>
      <c r="AM587" s="604">
        <f t="shared" si="188"/>
        <v>0</v>
      </c>
      <c r="AN587" s="306"/>
      <c r="AO587" s="307"/>
      <c r="AP587" s="298"/>
      <c r="AQ587" s="307"/>
      <c r="AR587" s="298"/>
      <c r="AS587" s="307"/>
      <c r="AT587" s="298"/>
      <c r="AU587" s="307"/>
      <c r="AV587" s="601">
        <f t="shared" si="189"/>
        <v>0</v>
      </c>
      <c r="AW587" s="609">
        <f t="shared" si="190"/>
        <v>0</v>
      </c>
      <c r="AX587" s="603">
        <f t="shared" si="191"/>
        <v>0</v>
      </c>
      <c r="AY587" s="610">
        <f t="shared" si="192"/>
        <v>0</v>
      </c>
      <c r="AZ587" s="611">
        <f t="shared" si="193"/>
        <v>3216.0677777777778</v>
      </c>
      <c r="BA587" s="603">
        <f t="shared" si="194"/>
        <v>3123.3388888888885</v>
      </c>
    </row>
    <row r="588" spans="1:53">
      <c r="A588" s="369" t="s">
        <v>33</v>
      </c>
      <c r="B588" s="447" t="s">
        <v>607</v>
      </c>
      <c r="C588" s="448"/>
      <c r="D588" s="369">
        <v>225070</v>
      </c>
      <c r="E588" s="449">
        <v>9</v>
      </c>
      <c r="F588" s="296" t="s">
        <v>52</v>
      </c>
      <c r="G588" s="297" t="s">
        <v>52</v>
      </c>
      <c r="H588" s="298">
        <v>46413</v>
      </c>
      <c r="I588" s="299">
        <v>51354</v>
      </c>
      <c r="J588" s="298">
        <v>10419</v>
      </c>
      <c r="K588" s="299">
        <v>10067</v>
      </c>
      <c r="L588" s="298">
        <v>3266</v>
      </c>
      <c r="M588" s="299">
        <v>3889</v>
      </c>
      <c r="N588" s="298">
        <v>51776</v>
      </c>
      <c r="O588" s="299">
        <v>51032</v>
      </c>
      <c r="P588" s="601">
        <f t="shared" si="177"/>
        <v>111874</v>
      </c>
      <c r="Q588" s="602">
        <f t="shared" si="178"/>
        <v>3729.1333333333332</v>
      </c>
      <c r="R588" s="603">
        <f t="shared" si="179"/>
        <v>116342</v>
      </c>
      <c r="S588" s="604">
        <f t="shared" si="180"/>
        <v>3878.0666666666666</v>
      </c>
      <c r="T588" s="298">
        <v>4602</v>
      </c>
      <c r="U588" s="299">
        <v>5826</v>
      </c>
      <c r="V588" s="601">
        <f t="shared" si="181"/>
        <v>111874</v>
      </c>
      <c r="W588" s="605">
        <f t="shared" si="182"/>
        <v>116342</v>
      </c>
      <c r="X588" s="305">
        <v>22847</v>
      </c>
      <c r="Y588" s="440">
        <v>14465</v>
      </c>
      <c r="Z588" s="298">
        <v>23063</v>
      </c>
      <c r="AA588" s="299">
        <v>22040</v>
      </c>
      <c r="AB588" s="298">
        <v>25392</v>
      </c>
      <c r="AC588" s="299">
        <v>23955</v>
      </c>
      <c r="AD588" s="298">
        <v>19113</v>
      </c>
      <c r="AE588" s="299">
        <v>17833</v>
      </c>
      <c r="AF588" s="601">
        <f t="shared" si="183"/>
        <v>90415</v>
      </c>
      <c r="AG588" s="602">
        <f t="shared" si="184"/>
        <v>100.46111111111111</v>
      </c>
      <c r="AH588" s="603">
        <f t="shared" si="185"/>
        <v>78293</v>
      </c>
      <c r="AI588" s="603">
        <f t="shared" si="186"/>
        <v>86.992222222222225</v>
      </c>
      <c r="AJ588" s="298"/>
      <c r="AK588" s="299"/>
      <c r="AL588" s="601">
        <f t="shared" si="187"/>
        <v>0</v>
      </c>
      <c r="AM588" s="604">
        <f t="shared" si="188"/>
        <v>0</v>
      </c>
      <c r="AN588" s="306"/>
      <c r="AO588" s="307"/>
      <c r="AP588" s="298"/>
      <c r="AQ588" s="307"/>
      <c r="AR588" s="298"/>
      <c r="AS588" s="307"/>
      <c r="AT588" s="298"/>
      <c r="AU588" s="307"/>
      <c r="AV588" s="601">
        <f t="shared" si="189"/>
        <v>0</v>
      </c>
      <c r="AW588" s="609">
        <f t="shared" si="190"/>
        <v>0</v>
      </c>
      <c r="AX588" s="603">
        <f t="shared" si="191"/>
        <v>0</v>
      </c>
      <c r="AY588" s="610">
        <f t="shared" si="192"/>
        <v>0</v>
      </c>
      <c r="AZ588" s="611">
        <f t="shared" si="193"/>
        <v>3829.5944444444444</v>
      </c>
      <c r="BA588" s="603">
        <f t="shared" si="194"/>
        <v>3965.0588888888888</v>
      </c>
    </row>
    <row r="589" spans="1:53">
      <c r="A589" s="429" t="s">
        <v>33</v>
      </c>
      <c r="B589" s="447" t="s">
        <v>608</v>
      </c>
      <c r="C589" s="448"/>
      <c r="D589" s="369">
        <v>225371</v>
      </c>
      <c r="E589" s="449">
        <v>9</v>
      </c>
      <c r="F589" s="296" t="s">
        <v>52</v>
      </c>
      <c r="G589" s="297" t="s">
        <v>52</v>
      </c>
      <c r="H589" s="298">
        <v>40248</v>
      </c>
      <c r="I589" s="299">
        <v>41045</v>
      </c>
      <c r="J589" s="298">
        <v>12875</v>
      </c>
      <c r="K589" s="299">
        <v>11526</v>
      </c>
      <c r="L589" s="298">
        <v>2845</v>
      </c>
      <c r="M589" s="299">
        <v>2760</v>
      </c>
      <c r="N589" s="298">
        <v>42525</v>
      </c>
      <c r="O589" s="299">
        <v>39309</v>
      </c>
      <c r="P589" s="601">
        <f t="shared" si="177"/>
        <v>98493</v>
      </c>
      <c r="Q589" s="602">
        <f t="shared" si="178"/>
        <v>3283.1</v>
      </c>
      <c r="R589" s="603">
        <f t="shared" si="179"/>
        <v>94640</v>
      </c>
      <c r="S589" s="604">
        <f t="shared" si="180"/>
        <v>3154.6666666666665</v>
      </c>
      <c r="T589" s="298">
        <v>10518</v>
      </c>
      <c r="U589" s="299">
        <v>9522</v>
      </c>
      <c r="V589" s="601">
        <f t="shared" si="181"/>
        <v>98493</v>
      </c>
      <c r="W589" s="605">
        <f t="shared" si="182"/>
        <v>94640</v>
      </c>
      <c r="X589" s="305">
        <v>17654</v>
      </c>
      <c r="Y589" s="440">
        <v>15980</v>
      </c>
      <c r="Z589" s="298">
        <v>10417</v>
      </c>
      <c r="AA589" s="299">
        <v>15366</v>
      </c>
      <c r="AB589" s="298">
        <v>17176</v>
      </c>
      <c r="AC589" s="299">
        <v>8992</v>
      </c>
      <c r="AD589" s="298">
        <v>12862</v>
      </c>
      <c r="AE589" s="299">
        <v>12814</v>
      </c>
      <c r="AF589" s="601">
        <f t="shared" si="183"/>
        <v>58109</v>
      </c>
      <c r="AG589" s="602">
        <f t="shared" si="184"/>
        <v>64.565555555555562</v>
      </c>
      <c r="AH589" s="603">
        <f t="shared" si="185"/>
        <v>53152</v>
      </c>
      <c r="AI589" s="603">
        <f t="shared" si="186"/>
        <v>59.05777777777778</v>
      </c>
      <c r="AJ589" s="298"/>
      <c r="AK589" s="299"/>
      <c r="AL589" s="601">
        <f t="shared" si="187"/>
        <v>0</v>
      </c>
      <c r="AM589" s="604">
        <f t="shared" si="188"/>
        <v>0</v>
      </c>
      <c r="AN589" s="306"/>
      <c r="AO589" s="307"/>
      <c r="AP589" s="298"/>
      <c r="AQ589" s="307"/>
      <c r="AR589" s="298"/>
      <c r="AS589" s="307"/>
      <c r="AT589" s="298"/>
      <c r="AU589" s="307"/>
      <c r="AV589" s="601">
        <f t="shared" si="189"/>
        <v>0</v>
      </c>
      <c r="AW589" s="609">
        <f t="shared" si="190"/>
        <v>0</v>
      </c>
      <c r="AX589" s="603">
        <f t="shared" si="191"/>
        <v>0</v>
      </c>
      <c r="AY589" s="610">
        <f t="shared" si="192"/>
        <v>0</v>
      </c>
      <c r="AZ589" s="611">
        <f t="shared" si="193"/>
        <v>3347.6655555555553</v>
      </c>
      <c r="BA589" s="603">
        <f t="shared" si="194"/>
        <v>3213.7244444444441</v>
      </c>
    </row>
    <row r="590" spans="1:53">
      <c r="A590" s="369" t="s">
        <v>33</v>
      </c>
      <c r="B590" s="458" t="s">
        <v>609</v>
      </c>
      <c r="C590" s="459"/>
      <c r="D590" s="369">
        <v>225520</v>
      </c>
      <c r="E590" s="449">
        <v>9</v>
      </c>
      <c r="F590" s="296" t="s">
        <v>52</v>
      </c>
      <c r="G590" s="297" t="s">
        <v>52</v>
      </c>
      <c r="H590" s="298">
        <v>34244</v>
      </c>
      <c r="I590" s="299">
        <v>39148</v>
      </c>
      <c r="J590" s="298">
        <v>6652</v>
      </c>
      <c r="K590" s="299">
        <v>7114</v>
      </c>
      <c r="L590" s="298">
        <v>3014</v>
      </c>
      <c r="M590" s="299">
        <v>3086</v>
      </c>
      <c r="N590" s="298">
        <v>39002</v>
      </c>
      <c r="O590" s="299">
        <v>37689</v>
      </c>
      <c r="P590" s="601">
        <f t="shared" si="177"/>
        <v>82912</v>
      </c>
      <c r="Q590" s="602">
        <f t="shared" si="178"/>
        <v>2763.7333333333331</v>
      </c>
      <c r="R590" s="603">
        <f t="shared" si="179"/>
        <v>87037</v>
      </c>
      <c r="S590" s="604">
        <f t="shared" si="180"/>
        <v>2901.2333333333331</v>
      </c>
      <c r="T590" s="298">
        <v>15096</v>
      </c>
      <c r="U590" s="299">
        <v>13864</v>
      </c>
      <c r="V590" s="601">
        <f t="shared" si="181"/>
        <v>82912</v>
      </c>
      <c r="W590" s="605">
        <f t="shared" si="182"/>
        <v>87037</v>
      </c>
      <c r="X590" s="305">
        <v>193800</v>
      </c>
      <c r="Y590" s="440">
        <v>220723</v>
      </c>
      <c r="Z590" s="298">
        <v>258249</v>
      </c>
      <c r="AA590" s="299">
        <v>215667</v>
      </c>
      <c r="AB590" s="298">
        <v>269259</v>
      </c>
      <c r="AC590" s="299">
        <v>199639</v>
      </c>
      <c r="AD590" s="298">
        <v>251097</v>
      </c>
      <c r="AE590" s="299">
        <v>135182</v>
      </c>
      <c r="AF590" s="601">
        <f t="shared" si="183"/>
        <v>972405</v>
      </c>
      <c r="AG590" s="602">
        <f t="shared" si="184"/>
        <v>1080.45</v>
      </c>
      <c r="AH590" s="603">
        <f t="shared" si="185"/>
        <v>771211</v>
      </c>
      <c r="AI590" s="603">
        <f t="shared" si="186"/>
        <v>856.90111111111116</v>
      </c>
      <c r="AJ590" s="298"/>
      <c r="AK590" s="299"/>
      <c r="AL590" s="601">
        <f t="shared" si="187"/>
        <v>0</v>
      </c>
      <c r="AM590" s="604">
        <f t="shared" si="188"/>
        <v>0</v>
      </c>
      <c r="AN590" s="306"/>
      <c r="AO590" s="307"/>
      <c r="AP590" s="298"/>
      <c r="AQ590" s="307"/>
      <c r="AR590" s="298"/>
      <c r="AS590" s="307"/>
      <c r="AT590" s="298"/>
      <c r="AU590" s="307"/>
      <c r="AV590" s="601">
        <f t="shared" si="189"/>
        <v>0</v>
      </c>
      <c r="AW590" s="609">
        <f t="shared" si="190"/>
        <v>0</v>
      </c>
      <c r="AX590" s="603">
        <f t="shared" si="191"/>
        <v>0</v>
      </c>
      <c r="AY590" s="610">
        <f t="shared" si="192"/>
        <v>0</v>
      </c>
      <c r="AZ590" s="611">
        <f t="shared" si="193"/>
        <v>3844.1833333333334</v>
      </c>
      <c r="BA590" s="603">
        <f t="shared" si="194"/>
        <v>3758.1344444444444</v>
      </c>
    </row>
    <row r="591" spans="1:53">
      <c r="A591" s="369" t="s">
        <v>33</v>
      </c>
      <c r="B591" s="447" t="s">
        <v>611</v>
      </c>
      <c r="C591" s="448"/>
      <c r="D591" s="369">
        <v>441760</v>
      </c>
      <c r="E591" s="449">
        <v>9</v>
      </c>
      <c r="F591" s="296" t="s">
        <v>52</v>
      </c>
      <c r="G591" s="297" t="s">
        <v>52</v>
      </c>
      <c r="H591" s="298">
        <v>29911</v>
      </c>
      <c r="I591" s="299">
        <v>29152</v>
      </c>
      <c r="J591" s="298">
        <v>2414</v>
      </c>
      <c r="K591" s="299">
        <v>2561</v>
      </c>
      <c r="L591" s="298">
        <v>1555</v>
      </c>
      <c r="M591" s="299">
        <v>1683</v>
      </c>
      <c r="N591" s="298">
        <v>33560</v>
      </c>
      <c r="O591" s="299">
        <v>30984</v>
      </c>
      <c r="P591" s="601">
        <f t="shared" si="177"/>
        <v>67440</v>
      </c>
      <c r="Q591" s="602">
        <f t="shared" si="178"/>
        <v>2248</v>
      </c>
      <c r="R591" s="603">
        <f t="shared" si="179"/>
        <v>64380</v>
      </c>
      <c r="S591" s="604">
        <f t="shared" si="180"/>
        <v>2146</v>
      </c>
      <c r="T591" s="298">
        <v>1273</v>
      </c>
      <c r="U591" s="299">
        <v>1310</v>
      </c>
      <c r="V591" s="601">
        <f t="shared" si="181"/>
        <v>67440</v>
      </c>
      <c r="W591" s="605">
        <f t="shared" si="182"/>
        <v>64380</v>
      </c>
      <c r="X591" s="305">
        <v>38880</v>
      </c>
      <c r="Y591" s="440">
        <v>27288</v>
      </c>
      <c r="Z591" s="298">
        <v>48953</v>
      </c>
      <c r="AA591" s="299">
        <v>27133</v>
      </c>
      <c r="AB591" s="298">
        <v>30404</v>
      </c>
      <c r="AC591" s="299">
        <v>33816</v>
      </c>
      <c r="AD591" s="298">
        <v>34158</v>
      </c>
      <c r="AE591" s="299">
        <v>35254</v>
      </c>
      <c r="AF591" s="601">
        <f t="shared" si="183"/>
        <v>152395</v>
      </c>
      <c r="AG591" s="602">
        <f t="shared" si="184"/>
        <v>169.32777777777778</v>
      </c>
      <c r="AH591" s="603">
        <f t="shared" si="185"/>
        <v>123491</v>
      </c>
      <c r="AI591" s="603">
        <f t="shared" si="186"/>
        <v>137.21222222222221</v>
      </c>
      <c r="AJ591" s="298"/>
      <c r="AK591" s="299"/>
      <c r="AL591" s="601">
        <f t="shared" si="187"/>
        <v>0</v>
      </c>
      <c r="AM591" s="604">
        <f t="shared" si="188"/>
        <v>0</v>
      </c>
      <c r="AN591" s="306"/>
      <c r="AO591" s="307"/>
      <c r="AP591" s="298"/>
      <c r="AQ591" s="307"/>
      <c r="AR591" s="298"/>
      <c r="AS591" s="307"/>
      <c r="AT591" s="298"/>
      <c r="AU591" s="307"/>
      <c r="AV591" s="601">
        <f t="shared" si="189"/>
        <v>0</v>
      </c>
      <c r="AW591" s="609">
        <f t="shared" si="190"/>
        <v>0</v>
      </c>
      <c r="AX591" s="603">
        <f t="shared" si="191"/>
        <v>0</v>
      </c>
      <c r="AY591" s="610">
        <f t="shared" si="192"/>
        <v>0</v>
      </c>
      <c r="AZ591" s="611">
        <f t="shared" si="193"/>
        <v>2417.3277777777776</v>
      </c>
      <c r="BA591" s="603">
        <f t="shared" si="194"/>
        <v>2283.2122222222224</v>
      </c>
    </row>
    <row r="592" spans="1:53">
      <c r="A592" s="369" t="s">
        <v>33</v>
      </c>
      <c r="B592" s="447" t="s">
        <v>612</v>
      </c>
      <c r="C592" s="448"/>
      <c r="D592" s="369">
        <v>226204</v>
      </c>
      <c r="E592" s="449">
        <v>9</v>
      </c>
      <c r="F592" s="296" t="s">
        <v>52</v>
      </c>
      <c r="G592" s="297" t="s">
        <v>52</v>
      </c>
      <c r="H592" s="298">
        <v>57161</v>
      </c>
      <c r="I592" s="299">
        <v>59665</v>
      </c>
      <c r="J592" s="298">
        <v>26260</v>
      </c>
      <c r="K592" s="299">
        <v>23896</v>
      </c>
      <c r="L592" s="298">
        <v>4191</v>
      </c>
      <c r="M592" s="299">
        <v>3482</v>
      </c>
      <c r="N592" s="298">
        <v>56131</v>
      </c>
      <c r="O592" s="299">
        <v>53085</v>
      </c>
      <c r="P592" s="601">
        <f t="shared" si="177"/>
        <v>143743</v>
      </c>
      <c r="Q592" s="602">
        <f t="shared" si="178"/>
        <v>4791.4333333333334</v>
      </c>
      <c r="R592" s="603">
        <f t="shared" si="179"/>
        <v>140128</v>
      </c>
      <c r="S592" s="604">
        <f t="shared" si="180"/>
        <v>4670.9333333333334</v>
      </c>
      <c r="T592" s="298">
        <v>4145</v>
      </c>
      <c r="U592" s="299">
        <v>6801</v>
      </c>
      <c r="V592" s="601">
        <f t="shared" si="181"/>
        <v>143743</v>
      </c>
      <c r="W592" s="605">
        <f t="shared" si="182"/>
        <v>140128</v>
      </c>
      <c r="X592" s="305">
        <v>44921</v>
      </c>
      <c r="Y592" s="440">
        <v>37158</v>
      </c>
      <c r="Z592" s="298">
        <v>26774</v>
      </c>
      <c r="AA592" s="299">
        <v>28407</v>
      </c>
      <c r="AB592" s="298">
        <v>25720</v>
      </c>
      <c r="AC592" s="299">
        <v>23643</v>
      </c>
      <c r="AD592" s="298">
        <v>39945</v>
      </c>
      <c r="AE592" s="299">
        <v>25718</v>
      </c>
      <c r="AF592" s="601">
        <f t="shared" si="183"/>
        <v>137360</v>
      </c>
      <c r="AG592" s="602">
        <f t="shared" si="184"/>
        <v>152.62222222222223</v>
      </c>
      <c r="AH592" s="603">
        <f t="shared" si="185"/>
        <v>114926</v>
      </c>
      <c r="AI592" s="603">
        <f t="shared" si="186"/>
        <v>127.69555555555556</v>
      </c>
      <c r="AJ592" s="298"/>
      <c r="AK592" s="299"/>
      <c r="AL592" s="601">
        <f t="shared" si="187"/>
        <v>0</v>
      </c>
      <c r="AM592" s="604">
        <f t="shared" si="188"/>
        <v>0</v>
      </c>
      <c r="AN592" s="306"/>
      <c r="AO592" s="307"/>
      <c r="AP592" s="298"/>
      <c r="AQ592" s="307"/>
      <c r="AR592" s="298"/>
      <c r="AS592" s="307"/>
      <c r="AT592" s="298"/>
      <c r="AU592" s="307"/>
      <c r="AV592" s="601">
        <f t="shared" si="189"/>
        <v>0</v>
      </c>
      <c r="AW592" s="609">
        <f t="shared" si="190"/>
        <v>0</v>
      </c>
      <c r="AX592" s="603">
        <f t="shared" si="191"/>
        <v>0</v>
      </c>
      <c r="AY592" s="610">
        <f t="shared" si="192"/>
        <v>0</v>
      </c>
      <c r="AZ592" s="611">
        <f t="shared" si="193"/>
        <v>4944.0555555555557</v>
      </c>
      <c r="BA592" s="603">
        <f t="shared" si="194"/>
        <v>4798.6288888888894</v>
      </c>
    </row>
    <row r="593" spans="1:53">
      <c r="A593" s="369" t="s">
        <v>33</v>
      </c>
      <c r="B593" s="456" t="s">
        <v>613</v>
      </c>
      <c r="C593" s="453" t="s">
        <v>728</v>
      </c>
      <c r="D593" s="369">
        <v>226930</v>
      </c>
      <c r="E593" s="449">
        <v>9</v>
      </c>
      <c r="F593" s="296" t="s">
        <v>52</v>
      </c>
      <c r="G593" s="297" t="s">
        <v>52</v>
      </c>
      <c r="H593" s="298">
        <v>60730</v>
      </c>
      <c r="I593" s="299">
        <v>59502</v>
      </c>
      <c r="J593" s="298">
        <v>18725</v>
      </c>
      <c r="K593" s="299">
        <v>18861</v>
      </c>
      <c r="L593" s="298">
        <v>9855</v>
      </c>
      <c r="M593" s="299">
        <v>8092</v>
      </c>
      <c r="N593" s="298">
        <v>57043</v>
      </c>
      <c r="O593" s="299">
        <v>60037</v>
      </c>
      <c r="P593" s="601">
        <f t="shared" si="177"/>
        <v>146353</v>
      </c>
      <c r="Q593" s="602">
        <f t="shared" si="178"/>
        <v>4878.4333333333334</v>
      </c>
      <c r="R593" s="603">
        <f t="shared" si="179"/>
        <v>146492</v>
      </c>
      <c r="S593" s="604">
        <f t="shared" si="180"/>
        <v>4883.0666666666666</v>
      </c>
      <c r="T593" s="298">
        <v>9878</v>
      </c>
      <c r="U593" s="299">
        <v>7832</v>
      </c>
      <c r="V593" s="601">
        <f t="shared" si="181"/>
        <v>146353</v>
      </c>
      <c r="W593" s="605">
        <f t="shared" si="182"/>
        <v>146492</v>
      </c>
      <c r="X593" s="305">
        <v>36996</v>
      </c>
      <c r="Y593" s="440">
        <v>25427</v>
      </c>
      <c r="Z593" s="298">
        <v>30872</v>
      </c>
      <c r="AA593" s="299">
        <v>26246</v>
      </c>
      <c r="AB593" s="298">
        <v>30885</v>
      </c>
      <c r="AC593" s="299">
        <v>35671</v>
      </c>
      <c r="AD593" s="298">
        <v>35482</v>
      </c>
      <c r="AE593" s="299">
        <v>34257</v>
      </c>
      <c r="AF593" s="601">
        <f t="shared" si="183"/>
        <v>134235</v>
      </c>
      <c r="AG593" s="602">
        <f t="shared" si="184"/>
        <v>149.15</v>
      </c>
      <c r="AH593" s="603">
        <f t="shared" si="185"/>
        <v>121601</v>
      </c>
      <c r="AI593" s="603">
        <f t="shared" si="186"/>
        <v>135.11222222222221</v>
      </c>
      <c r="AJ593" s="298"/>
      <c r="AK593" s="299"/>
      <c r="AL593" s="601">
        <f t="shared" si="187"/>
        <v>0</v>
      </c>
      <c r="AM593" s="604">
        <f t="shared" si="188"/>
        <v>0</v>
      </c>
      <c r="AN593" s="306"/>
      <c r="AO593" s="307"/>
      <c r="AP593" s="298"/>
      <c r="AQ593" s="307"/>
      <c r="AR593" s="298"/>
      <c r="AS593" s="307"/>
      <c r="AT593" s="298"/>
      <c r="AU593" s="307"/>
      <c r="AV593" s="601">
        <f t="shared" si="189"/>
        <v>0</v>
      </c>
      <c r="AW593" s="609">
        <f t="shared" si="190"/>
        <v>0</v>
      </c>
      <c r="AX593" s="603">
        <f t="shared" si="191"/>
        <v>0</v>
      </c>
      <c r="AY593" s="610">
        <f t="shared" si="192"/>
        <v>0</v>
      </c>
      <c r="AZ593" s="611">
        <f t="shared" si="193"/>
        <v>5027.583333333333</v>
      </c>
      <c r="BA593" s="603">
        <f t="shared" si="194"/>
        <v>5018.1788888888887</v>
      </c>
    </row>
    <row r="594" spans="1:53">
      <c r="A594" s="369" t="s">
        <v>33</v>
      </c>
      <c r="B594" s="371" t="s">
        <v>633</v>
      </c>
      <c r="C594" s="487" t="s">
        <v>729</v>
      </c>
      <c r="D594" s="369">
        <v>227225</v>
      </c>
      <c r="E594" s="488">
        <v>9</v>
      </c>
      <c r="F594" s="296" t="s">
        <v>52</v>
      </c>
      <c r="G594" s="297" t="s">
        <v>52</v>
      </c>
      <c r="H594" s="298">
        <v>27446</v>
      </c>
      <c r="I594" s="299">
        <v>30175</v>
      </c>
      <c r="J594" s="298">
        <v>7163</v>
      </c>
      <c r="K594" s="299">
        <v>6783</v>
      </c>
      <c r="L594" s="298">
        <v>3607</v>
      </c>
      <c r="M594" s="299">
        <v>0</v>
      </c>
      <c r="N594" s="298">
        <v>31534</v>
      </c>
      <c r="O594" s="299">
        <v>35644</v>
      </c>
      <c r="P594" s="601">
        <f t="shared" si="177"/>
        <v>69750</v>
      </c>
      <c r="Q594" s="602">
        <f t="shared" si="178"/>
        <v>2325</v>
      </c>
      <c r="R594" s="603">
        <f t="shared" si="179"/>
        <v>72602</v>
      </c>
      <c r="S594" s="604">
        <f t="shared" si="180"/>
        <v>2420.0666666666666</v>
      </c>
      <c r="T594" s="298">
        <v>4494</v>
      </c>
      <c r="U594" s="299">
        <v>5886</v>
      </c>
      <c r="V594" s="601">
        <f t="shared" si="181"/>
        <v>69750</v>
      </c>
      <c r="W594" s="605">
        <f t="shared" si="182"/>
        <v>72602</v>
      </c>
      <c r="X594" s="305">
        <v>6122</v>
      </c>
      <c r="Y594" s="440">
        <v>8942</v>
      </c>
      <c r="Z594" s="298">
        <v>15498</v>
      </c>
      <c r="AA594" s="299">
        <v>7869</v>
      </c>
      <c r="AB594" s="298">
        <v>7872</v>
      </c>
      <c r="AC594" s="299">
        <v>7228</v>
      </c>
      <c r="AD594" s="298">
        <v>8355</v>
      </c>
      <c r="AE594" s="299">
        <v>8308</v>
      </c>
      <c r="AF594" s="601">
        <f t="shared" si="183"/>
        <v>37847</v>
      </c>
      <c r="AG594" s="602">
        <f t="shared" si="184"/>
        <v>42.05222222222222</v>
      </c>
      <c r="AH594" s="603">
        <f t="shared" si="185"/>
        <v>32347</v>
      </c>
      <c r="AI594" s="603">
        <f t="shared" si="186"/>
        <v>35.941111111111113</v>
      </c>
      <c r="AJ594" s="298"/>
      <c r="AK594" s="299"/>
      <c r="AL594" s="601">
        <f t="shared" si="187"/>
        <v>0</v>
      </c>
      <c r="AM594" s="604">
        <f t="shared" si="188"/>
        <v>0</v>
      </c>
      <c r="AN594" s="306"/>
      <c r="AO594" s="307"/>
      <c r="AP594" s="298"/>
      <c r="AQ594" s="307"/>
      <c r="AR594" s="298"/>
      <c r="AS594" s="307"/>
      <c r="AT594" s="298"/>
      <c r="AU594" s="307"/>
      <c r="AV594" s="601">
        <f t="shared" si="189"/>
        <v>0</v>
      </c>
      <c r="AW594" s="609">
        <f t="shared" si="190"/>
        <v>0</v>
      </c>
      <c r="AX594" s="603">
        <f t="shared" si="191"/>
        <v>0</v>
      </c>
      <c r="AY594" s="610">
        <f t="shared" si="192"/>
        <v>0</v>
      </c>
      <c r="AZ594" s="611">
        <f t="shared" si="193"/>
        <v>2367.0522222222221</v>
      </c>
      <c r="BA594" s="603">
        <f t="shared" si="194"/>
        <v>2456.0077777777778</v>
      </c>
    </row>
    <row r="595" spans="1:53">
      <c r="A595" s="369" t="s">
        <v>33</v>
      </c>
      <c r="B595" s="447" t="s">
        <v>614</v>
      </c>
      <c r="C595" s="448"/>
      <c r="D595" s="369">
        <v>227304</v>
      </c>
      <c r="E595" s="449">
        <v>9</v>
      </c>
      <c r="F595" s="296" t="s">
        <v>52</v>
      </c>
      <c r="G595" s="297" t="s">
        <v>52</v>
      </c>
      <c r="H595" s="298">
        <v>43500</v>
      </c>
      <c r="I595" s="299">
        <v>43419</v>
      </c>
      <c r="J595" s="298">
        <v>7059</v>
      </c>
      <c r="K595" s="299">
        <v>7383</v>
      </c>
      <c r="L595" s="298">
        <v>5579</v>
      </c>
      <c r="M595" s="299">
        <v>4854</v>
      </c>
      <c r="N595" s="298">
        <v>44665</v>
      </c>
      <c r="O595" s="299">
        <v>43112</v>
      </c>
      <c r="P595" s="601">
        <f t="shared" si="177"/>
        <v>100803</v>
      </c>
      <c r="Q595" s="602">
        <f t="shared" si="178"/>
        <v>3360.1</v>
      </c>
      <c r="R595" s="603">
        <f t="shared" si="179"/>
        <v>98768</v>
      </c>
      <c r="S595" s="604">
        <f t="shared" si="180"/>
        <v>3292.2666666666669</v>
      </c>
      <c r="T595" s="298">
        <v>9193</v>
      </c>
      <c r="U595" s="299">
        <v>10092</v>
      </c>
      <c r="V595" s="601">
        <f t="shared" si="181"/>
        <v>100803</v>
      </c>
      <c r="W595" s="605">
        <f t="shared" si="182"/>
        <v>98768</v>
      </c>
      <c r="X595" s="305">
        <v>72863</v>
      </c>
      <c r="Y595" s="440">
        <v>66361</v>
      </c>
      <c r="Z595" s="298">
        <v>57703</v>
      </c>
      <c r="AA595" s="299">
        <v>87615</v>
      </c>
      <c r="AB595" s="298">
        <v>76577</v>
      </c>
      <c r="AC595" s="299">
        <v>80000</v>
      </c>
      <c r="AD595" s="298">
        <v>84139</v>
      </c>
      <c r="AE595" s="299">
        <v>88040</v>
      </c>
      <c r="AF595" s="601">
        <f t="shared" si="183"/>
        <v>291282</v>
      </c>
      <c r="AG595" s="602">
        <f t="shared" si="184"/>
        <v>323.64666666666665</v>
      </c>
      <c r="AH595" s="603">
        <f t="shared" si="185"/>
        <v>322016</v>
      </c>
      <c r="AI595" s="603">
        <f t="shared" si="186"/>
        <v>357.79555555555555</v>
      </c>
      <c r="AJ595" s="298"/>
      <c r="AK595" s="299"/>
      <c r="AL595" s="601">
        <f t="shared" si="187"/>
        <v>0</v>
      </c>
      <c r="AM595" s="604">
        <f t="shared" si="188"/>
        <v>0</v>
      </c>
      <c r="AN595" s="306"/>
      <c r="AO595" s="307"/>
      <c r="AP595" s="298"/>
      <c r="AQ595" s="307"/>
      <c r="AR595" s="298"/>
      <c r="AS595" s="307"/>
      <c r="AT595" s="298"/>
      <c r="AU595" s="307"/>
      <c r="AV595" s="601">
        <f t="shared" si="189"/>
        <v>0</v>
      </c>
      <c r="AW595" s="609">
        <f t="shared" si="190"/>
        <v>0</v>
      </c>
      <c r="AX595" s="603">
        <f t="shared" si="191"/>
        <v>0</v>
      </c>
      <c r="AY595" s="610">
        <f t="shared" si="192"/>
        <v>0</v>
      </c>
      <c r="AZ595" s="611">
        <f t="shared" si="193"/>
        <v>3683.7466666666664</v>
      </c>
      <c r="BA595" s="603">
        <f t="shared" si="194"/>
        <v>3650.0622222222223</v>
      </c>
    </row>
    <row r="596" spans="1:53">
      <c r="A596" s="369" t="s">
        <v>33</v>
      </c>
      <c r="B596" s="447" t="s">
        <v>615</v>
      </c>
      <c r="C596" s="448"/>
      <c r="D596" s="369">
        <v>227401</v>
      </c>
      <c r="E596" s="449">
        <v>9</v>
      </c>
      <c r="F596" s="296" t="s">
        <v>52</v>
      </c>
      <c r="G596" s="297" t="s">
        <v>52</v>
      </c>
      <c r="H596" s="298">
        <v>52581</v>
      </c>
      <c r="I596" s="299">
        <v>55180</v>
      </c>
      <c r="J596" s="298">
        <v>13117</v>
      </c>
      <c r="K596" s="299">
        <v>19534</v>
      </c>
      <c r="L596" s="298">
        <v>7247</v>
      </c>
      <c r="M596" s="299">
        <v>0</v>
      </c>
      <c r="N596" s="298">
        <v>58886</v>
      </c>
      <c r="O596" s="299">
        <v>57170</v>
      </c>
      <c r="P596" s="601">
        <f t="shared" si="177"/>
        <v>131831</v>
      </c>
      <c r="Q596" s="602">
        <f t="shared" si="178"/>
        <v>4394.3666666666668</v>
      </c>
      <c r="R596" s="603">
        <f t="shared" si="179"/>
        <v>131884</v>
      </c>
      <c r="S596" s="604">
        <f t="shared" si="180"/>
        <v>4396.1333333333332</v>
      </c>
      <c r="T596" s="298">
        <v>12473</v>
      </c>
      <c r="U596" s="299">
        <v>12465</v>
      </c>
      <c r="V596" s="601">
        <f t="shared" si="181"/>
        <v>131831</v>
      </c>
      <c r="W596" s="605">
        <f t="shared" si="182"/>
        <v>131884</v>
      </c>
      <c r="X596" s="305">
        <v>24014</v>
      </c>
      <c r="Y596" s="440">
        <v>12188</v>
      </c>
      <c r="Z596" s="298">
        <v>17154</v>
      </c>
      <c r="AA596" s="299">
        <v>14789</v>
      </c>
      <c r="AB596" s="298">
        <v>15112</v>
      </c>
      <c r="AC596" s="299">
        <v>18928</v>
      </c>
      <c r="AD596" s="298">
        <v>18634</v>
      </c>
      <c r="AE596" s="299">
        <v>37412</v>
      </c>
      <c r="AF596" s="601">
        <f t="shared" si="183"/>
        <v>74914</v>
      </c>
      <c r="AG596" s="602">
        <f t="shared" si="184"/>
        <v>83.237777777777779</v>
      </c>
      <c r="AH596" s="603">
        <f t="shared" si="185"/>
        <v>83317</v>
      </c>
      <c r="AI596" s="603">
        <f t="shared" si="186"/>
        <v>92.574444444444438</v>
      </c>
      <c r="AJ596" s="298"/>
      <c r="AK596" s="299"/>
      <c r="AL596" s="601">
        <f t="shared" si="187"/>
        <v>0</v>
      </c>
      <c r="AM596" s="604">
        <f t="shared" si="188"/>
        <v>0</v>
      </c>
      <c r="AN596" s="306"/>
      <c r="AO596" s="307"/>
      <c r="AP596" s="298"/>
      <c r="AQ596" s="307"/>
      <c r="AR596" s="298"/>
      <c r="AS596" s="307"/>
      <c r="AT596" s="298"/>
      <c r="AU596" s="307"/>
      <c r="AV596" s="601">
        <f t="shared" si="189"/>
        <v>0</v>
      </c>
      <c r="AW596" s="609">
        <f t="shared" si="190"/>
        <v>0</v>
      </c>
      <c r="AX596" s="603">
        <f t="shared" si="191"/>
        <v>0</v>
      </c>
      <c r="AY596" s="610">
        <f t="shared" si="192"/>
        <v>0</v>
      </c>
      <c r="AZ596" s="611">
        <f t="shared" si="193"/>
        <v>4477.6044444444442</v>
      </c>
      <c r="BA596" s="603">
        <f t="shared" si="194"/>
        <v>4488.7077777777777</v>
      </c>
    </row>
    <row r="597" spans="1:53">
      <c r="A597" s="369" t="s">
        <v>33</v>
      </c>
      <c r="B597" s="447" t="s">
        <v>616</v>
      </c>
      <c r="C597" s="448"/>
      <c r="D597" s="369">
        <v>228316</v>
      </c>
      <c r="E597" s="449">
        <v>9</v>
      </c>
      <c r="F597" s="296" t="s">
        <v>52</v>
      </c>
      <c r="G597" s="297" t="s">
        <v>52</v>
      </c>
      <c r="H597" s="298">
        <v>49538</v>
      </c>
      <c r="I597" s="299">
        <v>50408</v>
      </c>
      <c r="J597" s="298">
        <v>9687</v>
      </c>
      <c r="K597" s="299">
        <v>8129</v>
      </c>
      <c r="L597" s="298">
        <v>5009</v>
      </c>
      <c r="M597" s="299">
        <v>4232</v>
      </c>
      <c r="N597" s="298">
        <v>54329</v>
      </c>
      <c r="O597" s="299">
        <v>48836</v>
      </c>
      <c r="P597" s="601">
        <f t="shared" si="177"/>
        <v>118563</v>
      </c>
      <c r="Q597" s="602">
        <f t="shared" si="178"/>
        <v>3952.1</v>
      </c>
      <c r="R597" s="603">
        <f t="shared" si="179"/>
        <v>111605</v>
      </c>
      <c r="S597" s="604">
        <f t="shared" si="180"/>
        <v>3720.1666666666665</v>
      </c>
      <c r="T597" s="298">
        <v>16075</v>
      </c>
      <c r="U597" s="299">
        <v>14657</v>
      </c>
      <c r="V597" s="601">
        <f t="shared" si="181"/>
        <v>118563</v>
      </c>
      <c r="W597" s="605">
        <f t="shared" si="182"/>
        <v>111605</v>
      </c>
      <c r="X597" s="305">
        <v>33708</v>
      </c>
      <c r="Y597" s="440">
        <v>64752</v>
      </c>
      <c r="Z597" s="298">
        <v>36157</v>
      </c>
      <c r="AA597" s="299">
        <v>14625</v>
      </c>
      <c r="AB597" s="298">
        <v>55458</v>
      </c>
      <c r="AC597" s="299">
        <v>41572</v>
      </c>
      <c r="AD597" s="298">
        <v>28812</v>
      </c>
      <c r="AE597" s="299">
        <v>17092</v>
      </c>
      <c r="AF597" s="601">
        <f t="shared" si="183"/>
        <v>154135</v>
      </c>
      <c r="AG597" s="602">
        <f t="shared" si="184"/>
        <v>171.26111111111112</v>
      </c>
      <c r="AH597" s="603">
        <f t="shared" si="185"/>
        <v>138041</v>
      </c>
      <c r="AI597" s="603">
        <f t="shared" si="186"/>
        <v>153.37888888888889</v>
      </c>
      <c r="AJ597" s="298"/>
      <c r="AK597" s="299"/>
      <c r="AL597" s="601">
        <f t="shared" si="187"/>
        <v>0</v>
      </c>
      <c r="AM597" s="604">
        <f t="shared" si="188"/>
        <v>0</v>
      </c>
      <c r="AN597" s="306"/>
      <c r="AO597" s="307"/>
      <c r="AP597" s="298"/>
      <c r="AQ597" s="307"/>
      <c r="AR597" s="298"/>
      <c r="AS597" s="307"/>
      <c r="AT597" s="298"/>
      <c r="AU597" s="307"/>
      <c r="AV597" s="601">
        <f t="shared" si="189"/>
        <v>0</v>
      </c>
      <c r="AW597" s="609">
        <f t="shared" si="190"/>
        <v>0</v>
      </c>
      <c r="AX597" s="603">
        <f t="shared" si="191"/>
        <v>0</v>
      </c>
      <c r="AY597" s="610">
        <f t="shared" si="192"/>
        <v>0</v>
      </c>
      <c r="AZ597" s="611">
        <f t="shared" si="193"/>
        <v>4123.3611111111113</v>
      </c>
      <c r="BA597" s="603">
        <f t="shared" si="194"/>
        <v>3873.5455555555554</v>
      </c>
    </row>
    <row r="598" spans="1:53">
      <c r="A598" s="369" t="s">
        <v>33</v>
      </c>
      <c r="B598" s="447" t="s">
        <v>617</v>
      </c>
      <c r="C598" s="448"/>
      <c r="D598" s="369">
        <v>228608</v>
      </c>
      <c r="E598" s="449">
        <v>9</v>
      </c>
      <c r="F598" s="296" t="s">
        <v>52</v>
      </c>
      <c r="G598" s="297" t="s">
        <v>52</v>
      </c>
      <c r="H598" s="298">
        <v>49299</v>
      </c>
      <c r="I598" s="299">
        <v>51775</v>
      </c>
      <c r="J598" s="298">
        <v>16303</v>
      </c>
      <c r="K598" s="299">
        <v>14930</v>
      </c>
      <c r="L598" s="298">
        <v>0</v>
      </c>
      <c r="M598" s="299">
        <v>0</v>
      </c>
      <c r="N598" s="298">
        <v>56569</v>
      </c>
      <c r="O598" s="299">
        <v>54852</v>
      </c>
      <c r="P598" s="601">
        <f t="shared" si="177"/>
        <v>122171</v>
      </c>
      <c r="Q598" s="602">
        <f t="shared" si="178"/>
        <v>4072.3666666666668</v>
      </c>
      <c r="R598" s="603">
        <f t="shared" si="179"/>
        <v>121557</v>
      </c>
      <c r="S598" s="604">
        <f t="shared" si="180"/>
        <v>4051.9</v>
      </c>
      <c r="T598" s="298">
        <v>13531</v>
      </c>
      <c r="U598" s="299">
        <v>12763</v>
      </c>
      <c r="V598" s="601">
        <f t="shared" si="181"/>
        <v>122171</v>
      </c>
      <c r="W598" s="605">
        <f t="shared" si="182"/>
        <v>121557</v>
      </c>
      <c r="X598" s="305">
        <v>20306</v>
      </c>
      <c r="Y598" s="440">
        <v>24479</v>
      </c>
      <c r="Z598" s="298">
        <v>25598</v>
      </c>
      <c r="AA598" s="299">
        <v>31314</v>
      </c>
      <c r="AB598" s="298">
        <v>22373</v>
      </c>
      <c r="AC598" s="299">
        <v>25699</v>
      </c>
      <c r="AD598" s="298">
        <v>29686</v>
      </c>
      <c r="AE598" s="299">
        <v>40675</v>
      </c>
      <c r="AF598" s="601">
        <f t="shared" si="183"/>
        <v>97963</v>
      </c>
      <c r="AG598" s="602">
        <f t="shared" si="184"/>
        <v>108.84777777777778</v>
      </c>
      <c r="AH598" s="603">
        <f t="shared" si="185"/>
        <v>122167</v>
      </c>
      <c r="AI598" s="603">
        <f t="shared" si="186"/>
        <v>135.74111111111111</v>
      </c>
      <c r="AJ598" s="298"/>
      <c r="AK598" s="299"/>
      <c r="AL598" s="601">
        <f t="shared" si="187"/>
        <v>0</v>
      </c>
      <c r="AM598" s="604">
        <f t="shared" si="188"/>
        <v>0</v>
      </c>
      <c r="AN598" s="306"/>
      <c r="AO598" s="307"/>
      <c r="AP598" s="298"/>
      <c r="AQ598" s="307"/>
      <c r="AR598" s="298"/>
      <c r="AS598" s="307"/>
      <c r="AT598" s="298"/>
      <c r="AU598" s="307"/>
      <c r="AV598" s="601">
        <f t="shared" si="189"/>
        <v>0</v>
      </c>
      <c r="AW598" s="609">
        <f t="shared" si="190"/>
        <v>0</v>
      </c>
      <c r="AX598" s="603">
        <f t="shared" si="191"/>
        <v>0</v>
      </c>
      <c r="AY598" s="610">
        <f t="shared" si="192"/>
        <v>0</v>
      </c>
      <c r="AZ598" s="611">
        <f t="shared" si="193"/>
        <v>4181.2144444444448</v>
      </c>
      <c r="BA598" s="603">
        <f t="shared" si="194"/>
        <v>4187.6411111111111</v>
      </c>
    </row>
    <row r="599" spans="1:53">
      <c r="A599" s="369" t="s">
        <v>33</v>
      </c>
      <c r="B599" s="447" t="s">
        <v>618</v>
      </c>
      <c r="C599" s="448"/>
      <c r="D599" s="369">
        <v>228699</v>
      </c>
      <c r="E599" s="449">
        <v>9</v>
      </c>
      <c r="F599" s="296" t="s">
        <v>52</v>
      </c>
      <c r="G599" s="297" t="s">
        <v>52</v>
      </c>
      <c r="H599" s="298">
        <v>38862</v>
      </c>
      <c r="I599" s="299">
        <v>34706</v>
      </c>
      <c r="J599" s="298">
        <v>12738</v>
      </c>
      <c r="K599" s="299">
        <v>10735</v>
      </c>
      <c r="L599" s="298">
        <v>2192</v>
      </c>
      <c r="M599" s="299">
        <v>2038</v>
      </c>
      <c r="N599" s="298">
        <v>41184</v>
      </c>
      <c r="O599" s="299">
        <v>40008</v>
      </c>
      <c r="P599" s="601">
        <f t="shared" si="177"/>
        <v>94976</v>
      </c>
      <c r="Q599" s="602">
        <f t="shared" si="178"/>
        <v>3165.8666666666668</v>
      </c>
      <c r="R599" s="603">
        <f t="shared" si="179"/>
        <v>87487</v>
      </c>
      <c r="S599" s="604">
        <f t="shared" si="180"/>
        <v>2916.2333333333331</v>
      </c>
      <c r="T599" s="298">
        <v>10933</v>
      </c>
      <c r="U599" s="299">
        <v>11333</v>
      </c>
      <c r="V599" s="601">
        <f t="shared" si="181"/>
        <v>94976</v>
      </c>
      <c r="W599" s="605">
        <f t="shared" si="182"/>
        <v>87487</v>
      </c>
      <c r="X599" s="305">
        <v>11998</v>
      </c>
      <c r="Y599" s="440">
        <v>98110</v>
      </c>
      <c r="Z599" s="298">
        <v>86019</v>
      </c>
      <c r="AA599" s="299">
        <v>98478</v>
      </c>
      <c r="AB599" s="298">
        <v>178348</v>
      </c>
      <c r="AC599" s="299">
        <v>72392</v>
      </c>
      <c r="AD599" s="298">
        <v>104749</v>
      </c>
      <c r="AE599" s="299">
        <v>105394</v>
      </c>
      <c r="AF599" s="601">
        <f t="shared" si="183"/>
        <v>381114</v>
      </c>
      <c r="AG599" s="602">
        <f t="shared" si="184"/>
        <v>423.46</v>
      </c>
      <c r="AH599" s="603">
        <f t="shared" si="185"/>
        <v>374374</v>
      </c>
      <c r="AI599" s="603">
        <f t="shared" si="186"/>
        <v>415.9711111111111</v>
      </c>
      <c r="AJ599" s="298"/>
      <c r="AK599" s="299"/>
      <c r="AL599" s="601">
        <f t="shared" si="187"/>
        <v>0</v>
      </c>
      <c r="AM599" s="604">
        <f t="shared" si="188"/>
        <v>0</v>
      </c>
      <c r="AN599" s="306"/>
      <c r="AO599" s="307"/>
      <c r="AP599" s="298"/>
      <c r="AQ599" s="307"/>
      <c r="AR599" s="298"/>
      <c r="AS599" s="307"/>
      <c r="AT599" s="298"/>
      <c r="AU599" s="307"/>
      <c r="AV599" s="601">
        <f t="shared" si="189"/>
        <v>0</v>
      </c>
      <c r="AW599" s="609">
        <f t="shared" si="190"/>
        <v>0</v>
      </c>
      <c r="AX599" s="603">
        <f t="shared" si="191"/>
        <v>0</v>
      </c>
      <c r="AY599" s="610">
        <f t="shared" si="192"/>
        <v>0</v>
      </c>
      <c r="AZ599" s="611">
        <f t="shared" si="193"/>
        <v>3589.3266666666668</v>
      </c>
      <c r="BA599" s="603">
        <f t="shared" si="194"/>
        <v>3332.2044444444441</v>
      </c>
    </row>
    <row r="600" spans="1:53">
      <c r="A600" s="369" t="s">
        <v>33</v>
      </c>
      <c r="B600" s="447" t="s">
        <v>619</v>
      </c>
      <c r="C600" s="448"/>
      <c r="D600" s="369">
        <v>229319</v>
      </c>
      <c r="E600" s="449">
        <v>9</v>
      </c>
      <c r="F600" s="296" t="s">
        <v>52</v>
      </c>
      <c r="G600" s="297" t="s">
        <v>52</v>
      </c>
      <c r="H600" s="298">
        <v>45809</v>
      </c>
      <c r="I600" s="299">
        <v>46121</v>
      </c>
      <c r="J600" s="298">
        <v>34934</v>
      </c>
      <c r="K600" s="299">
        <v>32274</v>
      </c>
      <c r="L600" s="298">
        <v>0</v>
      </c>
      <c r="M600" s="299">
        <v>0</v>
      </c>
      <c r="N600" s="298">
        <v>55266</v>
      </c>
      <c r="O600" s="299">
        <v>51996</v>
      </c>
      <c r="P600" s="601">
        <f t="shared" si="177"/>
        <v>136009</v>
      </c>
      <c r="Q600" s="602">
        <f t="shared" si="178"/>
        <v>4533.6333333333332</v>
      </c>
      <c r="R600" s="603">
        <f t="shared" si="179"/>
        <v>130391</v>
      </c>
      <c r="S600" s="604">
        <f t="shared" si="180"/>
        <v>4346.3666666666668</v>
      </c>
      <c r="T600" s="298">
        <v>13258</v>
      </c>
      <c r="U600" s="299">
        <v>12569</v>
      </c>
      <c r="V600" s="601">
        <f t="shared" si="181"/>
        <v>136009</v>
      </c>
      <c r="W600" s="605">
        <f t="shared" si="182"/>
        <v>130391</v>
      </c>
      <c r="X600" s="305">
        <v>25798</v>
      </c>
      <c r="Y600" s="440">
        <v>18603</v>
      </c>
      <c r="Z600" s="298">
        <v>39074</v>
      </c>
      <c r="AA600" s="299">
        <v>23102</v>
      </c>
      <c r="AB600" s="298">
        <v>34558</v>
      </c>
      <c r="AC600" s="299">
        <v>15184</v>
      </c>
      <c r="AD600" s="298">
        <v>24452</v>
      </c>
      <c r="AE600" s="299">
        <v>33008</v>
      </c>
      <c r="AF600" s="601">
        <f t="shared" si="183"/>
        <v>123882</v>
      </c>
      <c r="AG600" s="602">
        <f t="shared" si="184"/>
        <v>137.64666666666668</v>
      </c>
      <c r="AH600" s="603">
        <f t="shared" si="185"/>
        <v>89897</v>
      </c>
      <c r="AI600" s="603">
        <f t="shared" si="186"/>
        <v>99.885555555555555</v>
      </c>
      <c r="AJ600" s="298"/>
      <c r="AK600" s="299"/>
      <c r="AL600" s="601">
        <f t="shared" si="187"/>
        <v>0</v>
      </c>
      <c r="AM600" s="604">
        <f t="shared" si="188"/>
        <v>0</v>
      </c>
      <c r="AN600" s="306"/>
      <c r="AO600" s="307"/>
      <c r="AP600" s="298"/>
      <c r="AQ600" s="307"/>
      <c r="AR600" s="298"/>
      <c r="AS600" s="307"/>
      <c r="AT600" s="298"/>
      <c r="AU600" s="307"/>
      <c r="AV600" s="601">
        <f t="shared" si="189"/>
        <v>0</v>
      </c>
      <c r="AW600" s="609">
        <f t="shared" si="190"/>
        <v>0</v>
      </c>
      <c r="AX600" s="603">
        <f t="shared" si="191"/>
        <v>0</v>
      </c>
      <c r="AY600" s="610">
        <f t="shared" si="192"/>
        <v>0</v>
      </c>
      <c r="AZ600" s="611">
        <f t="shared" si="193"/>
        <v>4671.28</v>
      </c>
      <c r="BA600" s="603">
        <f t="shared" si="194"/>
        <v>4446.2522222222224</v>
      </c>
    </row>
    <row r="601" spans="1:53">
      <c r="A601" s="369" t="s">
        <v>33</v>
      </c>
      <c r="B601" s="447" t="s">
        <v>622</v>
      </c>
      <c r="C601" s="448"/>
      <c r="D601" s="369">
        <v>229504</v>
      </c>
      <c r="E601" s="449">
        <v>9</v>
      </c>
      <c r="F601" s="296" t="s">
        <v>52</v>
      </c>
      <c r="G601" s="297" t="s">
        <v>52</v>
      </c>
      <c r="H601" s="298">
        <v>28550</v>
      </c>
      <c r="I601" s="299">
        <v>29097</v>
      </c>
      <c r="J601" s="298">
        <v>5732</v>
      </c>
      <c r="K601" s="299">
        <v>5183</v>
      </c>
      <c r="L601" s="298">
        <v>6322</v>
      </c>
      <c r="M601" s="299">
        <v>5631</v>
      </c>
      <c r="N601" s="298">
        <v>27209</v>
      </c>
      <c r="O601" s="299">
        <v>27668</v>
      </c>
      <c r="P601" s="601">
        <f t="shared" si="177"/>
        <v>67813</v>
      </c>
      <c r="Q601" s="602">
        <f t="shared" si="178"/>
        <v>2260.4333333333334</v>
      </c>
      <c r="R601" s="603">
        <f t="shared" si="179"/>
        <v>67579</v>
      </c>
      <c r="S601" s="604">
        <f t="shared" si="180"/>
        <v>2252.6333333333332</v>
      </c>
      <c r="T601" s="298">
        <v>5248</v>
      </c>
      <c r="U601" s="299">
        <v>4750</v>
      </c>
      <c r="V601" s="601">
        <f t="shared" si="181"/>
        <v>67813</v>
      </c>
      <c r="W601" s="605">
        <f t="shared" si="182"/>
        <v>67579</v>
      </c>
      <c r="X601" s="305">
        <v>34118</v>
      </c>
      <c r="Y601" s="440">
        <v>115567</v>
      </c>
      <c r="Z601" s="298">
        <v>51829</v>
      </c>
      <c r="AA601" s="299">
        <v>81514</v>
      </c>
      <c r="AB601" s="298">
        <v>88974</v>
      </c>
      <c r="AC601" s="299">
        <v>80695</v>
      </c>
      <c r="AD601" s="298">
        <v>197470</v>
      </c>
      <c r="AE601" s="299">
        <v>67010</v>
      </c>
      <c r="AF601" s="601">
        <f t="shared" si="183"/>
        <v>372391</v>
      </c>
      <c r="AG601" s="602">
        <f t="shared" si="184"/>
        <v>413.76777777777778</v>
      </c>
      <c r="AH601" s="603">
        <f t="shared" si="185"/>
        <v>344786</v>
      </c>
      <c r="AI601" s="603">
        <f t="shared" si="186"/>
        <v>383.09555555555556</v>
      </c>
      <c r="AJ601" s="298"/>
      <c r="AK601" s="299"/>
      <c r="AL601" s="601">
        <f t="shared" si="187"/>
        <v>0</v>
      </c>
      <c r="AM601" s="604">
        <f t="shared" si="188"/>
        <v>0</v>
      </c>
      <c r="AN601" s="306"/>
      <c r="AO601" s="307"/>
      <c r="AP601" s="298"/>
      <c r="AQ601" s="307"/>
      <c r="AR601" s="298"/>
      <c r="AS601" s="307"/>
      <c r="AT601" s="298"/>
      <c r="AU601" s="307"/>
      <c r="AV601" s="601">
        <f t="shared" si="189"/>
        <v>0</v>
      </c>
      <c r="AW601" s="609">
        <f t="shared" si="190"/>
        <v>0</v>
      </c>
      <c r="AX601" s="603">
        <f t="shared" si="191"/>
        <v>0</v>
      </c>
      <c r="AY601" s="610">
        <f t="shared" si="192"/>
        <v>0</v>
      </c>
      <c r="AZ601" s="611">
        <f t="shared" si="193"/>
        <v>2674.201111111111</v>
      </c>
      <c r="BA601" s="603">
        <f t="shared" si="194"/>
        <v>2635.7288888888888</v>
      </c>
    </row>
    <row r="602" spans="1:53">
      <c r="A602" s="369" t="s">
        <v>33</v>
      </c>
      <c r="B602" s="447" t="s">
        <v>623</v>
      </c>
      <c r="C602" s="448"/>
      <c r="D602" s="369">
        <v>229540</v>
      </c>
      <c r="E602" s="449">
        <v>9</v>
      </c>
      <c r="F602" s="296" t="s">
        <v>52</v>
      </c>
      <c r="G602" s="297" t="s">
        <v>52</v>
      </c>
      <c r="H602" s="298">
        <v>34166</v>
      </c>
      <c r="I602" s="299">
        <v>36419</v>
      </c>
      <c r="J602" s="298">
        <v>11065</v>
      </c>
      <c r="K602" s="299">
        <v>11591</v>
      </c>
      <c r="L602" s="298">
        <v>0</v>
      </c>
      <c r="M602" s="299">
        <v>0</v>
      </c>
      <c r="N602" s="298">
        <v>36649</v>
      </c>
      <c r="O602" s="299">
        <v>37972</v>
      </c>
      <c r="P602" s="601">
        <f t="shared" si="177"/>
        <v>81880</v>
      </c>
      <c r="Q602" s="602">
        <f t="shared" si="178"/>
        <v>2729.3333333333335</v>
      </c>
      <c r="R602" s="603">
        <f t="shared" si="179"/>
        <v>85982</v>
      </c>
      <c r="S602" s="604">
        <f t="shared" si="180"/>
        <v>2866.0666666666666</v>
      </c>
      <c r="T602" s="298">
        <v>4035</v>
      </c>
      <c r="U602" s="299">
        <v>4305</v>
      </c>
      <c r="V602" s="601">
        <f t="shared" si="181"/>
        <v>81880</v>
      </c>
      <c r="W602" s="605">
        <f t="shared" si="182"/>
        <v>85982</v>
      </c>
      <c r="X602" s="305">
        <v>40854</v>
      </c>
      <c r="Y602" s="440">
        <v>63662</v>
      </c>
      <c r="Z602" s="298">
        <v>25293</v>
      </c>
      <c r="AA602" s="299">
        <v>43590</v>
      </c>
      <c r="AB602" s="298">
        <v>61969</v>
      </c>
      <c r="AC602" s="299">
        <v>54037</v>
      </c>
      <c r="AD602" s="298">
        <v>47570</v>
      </c>
      <c r="AE602" s="299">
        <v>30631</v>
      </c>
      <c r="AF602" s="601">
        <f t="shared" si="183"/>
        <v>175686</v>
      </c>
      <c r="AG602" s="602">
        <f t="shared" si="184"/>
        <v>195.20666666666668</v>
      </c>
      <c r="AH602" s="603">
        <f t="shared" si="185"/>
        <v>191920</v>
      </c>
      <c r="AI602" s="603">
        <f t="shared" si="186"/>
        <v>213.24444444444444</v>
      </c>
      <c r="AJ602" s="298"/>
      <c r="AK602" s="299"/>
      <c r="AL602" s="601">
        <f t="shared" si="187"/>
        <v>0</v>
      </c>
      <c r="AM602" s="604">
        <f t="shared" si="188"/>
        <v>0</v>
      </c>
      <c r="AN602" s="306"/>
      <c r="AO602" s="307"/>
      <c r="AP602" s="298"/>
      <c r="AQ602" s="307"/>
      <c r="AR602" s="298"/>
      <c r="AS602" s="307"/>
      <c r="AT602" s="298"/>
      <c r="AU602" s="307"/>
      <c r="AV602" s="601">
        <f t="shared" si="189"/>
        <v>0</v>
      </c>
      <c r="AW602" s="609">
        <f t="shared" si="190"/>
        <v>0</v>
      </c>
      <c r="AX602" s="603">
        <f t="shared" si="191"/>
        <v>0</v>
      </c>
      <c r="AY602" s="610">
        <f t="shared" si="192"/>
        <v>0</v>
      </c>
      <c r="AZ602" s="611">
        <f t="shared" si="193"/>
        <v>2924.54</v>
      </c>
      <c r="BA602" s="603">
        <f t="shared" si="194"/>
        <v>3079.3111111111111</v>
      </c>
    </row>
    <row r="603" spans="1:53">
      <c r="A603" s="369" t="s">
        <v>33</v>
      </c>
      <c r="B603" s="447" t="s">
        <v>624</v>
      </c>
      <c r="C603" s="448"/>
      <c r="D603" s="369">
        <v>229799</v>
      </c>
      <c r="E603" s="449">
        <v>9</v>
      </c>
      <c r="F603" s="296" t="s">
        <v>52</v>
      </c>
      <c r="G603" s="297" t="s">
        <v>52</v>
      </c>
      <c r="H603" s="298">
        <v>48336</v>
      </c>
      <c r="I603" s="299">
        <v>49452</v>
      </c>
      <c r="J603" s="298">
        <v>8837</v>
      </c>
      <c r="K603" s="299">
        <v>8529</v>
      </c>
      <c r="L603" s="298">
        <v>4777</v>
      </c>
      <c r="M603" s="299">
        <v>4770</v>
      </c>
      <c r="N603" s="298">
        <v>54551</v>
      </c>
      <c r="O603" s="299">
        <v>52346</v>
      </c>
      <c r="P603" s="601">
        <f t="shared" si="177"/>
        <v>116501</v>
      </c>
      <c r="Q603" s="602">
        <f t="shared" si="178"/>
        <v>3883.3666666666668</v>
      </c>
      <c r="R603" s="603">
        <f t="shared" si="179"/>
        <v>115097</v>
      </c>
      <c r="S603" s="604">
        <f t="shared" si="180"/>
        <v>3836.5666666666666</v>
      </c>
      <c r="T603" s="298">
        <v>7474</v>
      </c>
      <c r="U603" s="299">
        <v>7563</v>
      </c>
      <c r="V603" s="601">
        <f t="shared" si="181"/>
        <v>116501</v>
      </c>
      <c r="W603" s="605">
        <f t="shared" si="182"/>
        <v>115097</v>
      </c>
      <c r="X603" s="305">
        <v>33977</v>
      </c>
      <c r="Y603" s="440">
        <v>38867</v>
      </c>
      <c r="Z603" s="298">
        <v>38794</v>
      </c>
      <c r="AA603" s="299">
        <v>41503</v>
      </c>
      <c r="AB603" s="298">
        <v>29697</v>
      </c>
      <c r="AC603" s="299">
        <v>22689</v>
      </c>
      <c r="AD603" s="298">
        <v>55961</v>
      </c>
      <c r="AE603" s="299">
        <v>67648</v>
      </c>
      <c r="AF603" s="601">
        <f t="shared" si="183"/>
        <v>158429</v>
      </c>
      <c r="AG603" s="602">
        <f t="shared" si="184"/>
        <v>176.03222222222223</v>
      </c>
      <c r="AH603" s="603">
        <f t="shared" si="185"/>
        <v>170707</v>
      </c>
      <c r="AI603" s="603">
        <f t="shared" si="186"/>
        <v>189.67444444444445</v>
      </c>
      <c r="AJ603" s="298"/>
      <c r="AK603" s="299"/>
      <c r="AL603" s="601">
        <f t="shared" si="187"/>
        <v>0</v>
      </c>
      <c r="AM603" s="604">
        <f t="shared" si="188"/>
        <v>0</v>
      </c>
      <c r="AN603" s="306"/>
      <c r="AO603" s="307"/>
      <c r="AP603" s="298"/>
      <c r="AQ603" s="307"/>
      <c r="AR603" s="298"/>
      <c r="AS603" s="307"/>
      <c r="AT603" s="298"/>
      <c r="AU603" s="307"/>
      <c r="AV603" s="601">
        <f t="shared" si="189"/>
        <v>0</v>
      </c>
      <c r="AW603" s="609">
        <f t="shared" si="190"/>
        <v>0</v>
      </c>
      <c r="AX603" s="603">
        <f t="shared" si="191"/>
        <v>0</v>
      </c>
      <c r="AY603" s="610">
        <f t="shared" si="192"/>
        <v>0</v>
      </c>
      <c r="AZ603" s="611">
        <f t="shared" si="193"/>
        <v>4059.3988888888889</v>
      </c>
      <c r="BA603" s="603">
        <f t="shared" si="194"/>
        <v>4026.241111111111</v>
      </c>
    </row>
    <row r="604" spans="1:53">
      <c r="A604" s="369" t="s">
        <v>33</v>
      </c>
      <c r="B604" s="447" t="s">
        <v>625</v>
      </c>
      <c r="C604" s="448"/>
      <c r="D604" s="369">
        <v>229841</v>
      </c>
      <c r="E604" s="449">
        <v>9</v>
      </c>
      <c r="F604" s="296" t="s">
        <v>52</v>
      </c>
      <c r="G604" s="297" t="s">
        <v>52</v>
      </c>
      <c r="H604" s="298">
        <v>60232</v>
      </c>
      <c r="I604" s="299">
        <v>62408</v>
      </c>
      <c r="J604" s="298">
        <v>13908</v>
      </c>
      <c r="K604" s="299">
        <v>13918</v>
      </c>
      <c r="L604" s="298">
        <v>6452</v>
      </c>
      <c r="M604" s="299">
        <v>6525</v>
      </c>
      <c r="N604" s="298">
        <v>64936</v>
      </c>
      <c r="O604" s="299">
        <v>64170</v>
      </c>
      <c r="P604" s="601">
        <f t="shared" si="177"/>
        <v>145528</v>
      </c>
      <c r="Q604" s="602">
        <f t="shared" si="178"/>
        <v>4850.9333333333334</v>
      </c>
      <c r="R604" s="603">
        <f t="shared" si="179"/>
        <v>147021</v>
      </c>
      <c r="S604" s="604">
        <f t="shared" si="180"/>
        <v>4900.7</v>
      </c>
      <c r="T604" s="298">
        <v>9190</v>
      </c>
      <c r="U604" s="299">
        <v>8090</v>
      </c>
      <c r="V604" s="601">
        <f t="shared" si="181"/>
        <v>145528</v>
      </c>
      <c r="W604" s="605">
        <f t="shared" si="182"/>
        <v>147021</v>
      </c>
      <c r="X604" s="305">
        <v>9724</v>
      </c>
      <c r="Y604" s="440">
        <v>9360</v>
      </c>
      <c r="Z604" s="298">
        <v>5804</v>
      </c>
      <c r="AA604" s="299">
        <v>4824</v>
      </c>
      <c r="AB604" s="298">
        <v>24967</v>
      </c>
      <c r="AC604" s="299">
        <v>13930</v>
      </c>
      <c r="AD604" s="298">
        <v>24626</v>
      </c>
      <c r="AE604" s="299">
        <v>7454</v>
      </c>
      <c r="AF604" s="601">
        <f t="shared" si="183"/>
        <v>65121</v>
      </c>
      <c r="AG604" s="602">
        <f t="shared" si="184"/>
        <v>72.356666666666669</v>
      </c>
      <c r="AH604" s="603">
        <f t="shared" si="185"/>
        <v>35568</v>
      </c>
      <c r="AI604" s="603">
        <f t="shared" si="186"/>
        <v>39.520000000000003</v>
      </c>
      <c r="AJ604" s="298"/>
      <c r="AK604" s="299"/>
      <c r="AL604" s="601">
        <f t="shared" si="187"/>
        <v>0</v>
      </c>
      <c r="AM604" s="604">
        <f t="shared" si="188"/>
        <v>0</v>
      </c>
      <c r="AN604" s="306"/>
      <c r="AO604" s="307"/>
      <c r="AP604" s="298"/>
      <c r="AQ604" s="307"/>
      <c r="AR604" s="298"/>
      <c r="AS604" s="307"/>
      <c r="AT604" s="298"/>
      <c r="AU604" s="307"/>
      <c r="AV604" s="601">
        <f t="shared" si="189"/>
        <v>0</v>
      </c>
      <c r="AW604" s="609">
        <f t="shared" si="190"/>
        <v>0</v>
      </c>
      <c r="AX604" s="603">
        <f t="shared" si="191"/>
        <v>0</v>
      </c>
      <c r="AY604" s="610">
        <f t="shared" si="192"/>
        <v>0</v>
      </c>
      <c r="AZ604" s="611">
        <f t="shared" si="193"/>
        <v>4923.29</v>
      </c>
      <c r="BA604" s="603">
        <f t="shared" si="194"/>
        <v>4940.22</v>
      </c>
    </row>
    <row r="605" spans="1:53">
      <c r="A605" s="369" t="s">
        <v>33</v>
      </c>
      <c r="B605" s="447" t="s">
        <v>626</v>
      </c>
      <c r="C605" s="448"/>
      <c r="D605" s="369">
        <v>223922</v>
      </c>
      <c r="E605" s="449">
        <v>10</v>
      </c>
      <c r="F605" s="296" t="s">
        <v>52</v>
      </c>
      <c r="G605" s="297" t="s">
        <v>52</v>
      </c>
      <c r="H605" s="298">
        <v>14449</v>
      </c>
      <c r="I605" s="299">
        <v>15450</v>
      </c>
      <c r="J605" s="298">
        <v>1422</v>
      </c>
      <c r="K605" s="299">
        <v>3282</v>
      </c>
      <c r="L605" s="298">
        <v>3534</v>
      </c>
      <c r="M605" s="299">
        <v>1606</v>
      </c>
      <c r="N605" s="298">
        <v>15711</v>
      </c>
      <c r="O605" s="299">
        <v>14358</v>
      </c>
      <c r="P605" s="601">
        <f t="shared" si="177"/>
        <v>35116</v>
      </c>
      <c r="Q605" s="602">
        <f t="shared" si="178"/>
        <v>1170.5333333333333</v>
      </c>
      <c r="R605" s="603">
        <f t="shared" si="179"/>
        <v>34696</v>
      </c>
      <c r="S605" s="604">
        <f t="shared" si="180"/>
        <v>1156.5333333333333</v>
      </c>
      <c r="T605" s="298">
        <v>4219</v>
      </c>
      <c r="U605" s="299">
        <v>4409</v>
      </c>
      <c r="V605" s="601">
        <f t="shared" si="181"/>
        <v>35116</v>
      </c>
      <c r="W605" s="605">
        <f t="shared" si="182"/>
        <v>34696</v>
      </c>
      <c r="X605" s="305">
        <v>4440</v>
      </c>
      <c r="Y605" s="440">
        <v>5602</v>
      </c>
      <c r="Z605" s="298">
        <v>11566</v>
      </c>
      <c r="AA605" s="299">
        <v>2425</v>
      </c>
      <c r="AB605" s="298">
        <v>568</v>
      </c>
      <c r="AC605" s="299">
        <v>3360</v>
      </c>
      <c r="AD605" s="298">
        <v>5478</v>
      </c>
      <c r="AE605" s="299">
        <v>5576</v>
      </c>
      <c r="AF605" s="601">
        <f t="shared" si="183"/>
        <v>22052</v>
      </c>
      <c r="AG605" s="602">
        <f t="shared" si="184"/>
        <v>24.502222222222223</v>
      </c>
      <c r="AH605" s="603">
        <f t="shared" si="185"/>
        <v>16963</v>
      </c>
      <c r="AI605" s="603">
        <f t="shared" si="186"/>
        <v>18.847777777777779</v>
      </c>
      <c r="AJ605" s="298"/>
      <c r="AK605" s="299"/>
      <c r="AL605" s="601">
        <f t="shared" si="187"/>
        <v>0</v>
      </c>
      <c r="AM605" s="604">
        <f t="shared" si="188"/>
        <v>0</v>
      </c>
      <c r="AN605" s="306"/>
      <c r="AO605" s="307"/>
      <c r="AP605" s="298"/>
      <c r="AQ605" s="307"/>
      <c r="AR605" s="298"/>
      <c r="AS605" s="307"/>
      <c r="AT605" s="298"/>
      <c r="AU605" s="307"/>
      <c r="AV605" s="601">
        <f t="shared" si="189"/>
        <v>0</v>
      </c>
      <c r="AW605" s="609">
        <f t="shared" si="190"/>
        <v>0</v>
      </c>
      <c r="AX605" s="603">
        <f t="shared" si="191"/>
        <v>0</v>
      </c>
      <c r="AY605" s="610">
        <f t="shared" si="192"/>
        <v>0</v>
      </c>
      <c r="AZ605" s="611">
        <f t="shared" si="193"/>
        <v>1195.0355555555554</v>
      </c>
      <c r="BA605" s="603">
        <f t="shared" si="194"/>
        <v>1175.3811111111111</v>
      </c>
    </row>
    <row r="606" spans="1:53">
      <c r="A606" s="369" t="s">
        <v>33</v>
      </c>
      <c r="B606" s="447" t="s">
        <v>627</v>
      </c>
      <c r="C606" s="448"/>
      <c r="D606" s="369">
        <v>224891</v>
      </c>
      <c r="E606" s="449">
        <v>10</v>
      </c>
      <c r="F606" s="296" t="s">
        <v>52</v>
      </c>
      <c r="G606" s="297" t="s">
        <v>52</v>
      </c>
      <c r="H606" s="298">
        <v>10739</v>
      </c>
      <c r="I606" s="299">
        <v>10368</v>
      </c>
      <c r="J606" s="298">
        <v>2292</v>
      </c>
      <c r="K606" s="299">
        <v>2021</v>
      </c>
      <c r="L606" s="298">
        <v>803</v>
      </c>
      <c r="M606" s="299">
        <v>562</v>
      </c>
      <c r="N606" s="298">
        <v>11733</v>
      </c>
      <c r="O606" s="299">
        <v>9561</v>
      </c>
      <c r="P606" s="601">
        <f t="shared" si="177"/>
        <v>25567</v>
      </c>
      <c r="Q606" s="602">
        <f t="shared" si="178"/>
        <v>852.23333333333335</v>
      </c>
      <c r="R606" s="603">
        <f t="shared" si="179"/>
        <v>22512</v>
      </c>
      <c r="S606" s="604">
        <f t="shared" si="180"/>
        <v>750.4</v>
      </c>
      <c r="T606" s="298">
        <v>3282</v>
      </c>
      <c r="U606" s="299">
        <v>3126</v>
      </c>
      <c r="V606" s="601">
        <f t="shared" si="181"/>
        <v>25567</v>
      </c>
      <c r="W606" s="605">
        <f t="shared" si="182"/>
        <v>22512</v>
      </c>
      <c r="X606" s="305">
        <v>9973</v>
      </c>
      <c r="Y606" s="440">
        <v>14818</v>
      </c>
      <c r="Z606" s="298">
        <v>16636</v>
      </c>
      <c r="AA606" s="299">
        <v>25796</v>
      </c>
      <c r="AB606" s="298">
        <v>18736</v>
      </c>
      <c r="AC606" s="299">
        <v>31127</v>
      </c>
      <c r="AD606" s="298">
        <v>18924</v>
      </c>
      <c r="AE606" s="299">
        <v>31418</v>
      </c>
      <c r="AF606" s="601">
        <f t="shared" si="183"/>
        <v>64269</v>
      </c>
      <c r="AG606" s="602">
        <f t="shared" si="184"/>
        <v>71.41</v>
      </c>
      <c r="AH606" s="603">
        <f t="shared" si="185"/>
        <v>103159</v>
      </c>
      <c r="AI606" s="603">
        <f t="shared" si="186"/>
        <v>114.62111111111111</v>
      </c>
      <c r="AJ606" s="298"/>
      <c r="AK606" s="299"/>
      <c r="AL606" s="601">
        <f t="shared" si="187"/>
        <v>0</v>
      </c>
      <c r="AM606" s="604">
        <f t="shared" si="188"/>
        <v>0</v>
      </c>
      <c r="AN606" s="306"/>
      <c r="AO606" s="307"/>
      <c r="AP606" s="298"/>
      <c r="AQ606" s="307"/>
      <c r="AR606" s="298"/>
      <c r="AS606" s="307"/>
      <c r="AT606" s="298"/>
      <c r="AU606" s="307"/>
      <c r="AV606" s="601">
        <f t="shared" si="189"/>
        <v>0</v>
      </c>
      <c r="AW606" s="609">
        <f t="shared" si="190"/>
        <v>0</v>
      </c>
      <c r="AX606" s="603">
        <f t="shared" si="191"/>
        <v>0</v>
      </c>
      <c r="AY606" s="610">
        <f t="shared" si="192"/>
        <v>0</v>
      </c>
      <c r="AZ606" s="611">
        <f t="shared" si="193"/>
        <v>923.64333333333332</v>
      </c>
      <c r="BA606" s="603">
        <f t="shared" si="194"/>
        <v>865.02111111111105</v>
      </c>
    </row>
    <row r="607" spans="1:53">
      <c r="A607" s="369" t="s">
        <v>33</v>
      </c>
      <c r="B607" s="447" t="s">
        <v>628</v>
      </c>
      <c r="C607" s="448"/>
      <c r="D607" s="369">
        <v>224961</v>
      </c>
      <c r="E607" s="449">
        <v>10</v>
      </c>
      <c r="F607" s="296" t="s">
        <v>52</v>
      </c>
      <c r="G607" s="297" t="s">
        <v>52</v>
      </c>
      <c r="H607" s="298">
        <v>18821</v>
      </c>
      <c r="I607" s="299">
        <v>21048</v>
      </c>
      <c r="J607" s="298">
        <v>3404</v>
      </c>
      <c r="K607" s="299">
        <v>4600</v>
      </c>
      <c r="L607" s="298">
        <v>4426</v>
      </c>
      <c r="M607" s="299">
        <v>3411</v>
      </c>
      <c r="N607" s="298">
        <v>19627</v>
      </c>
      <c r="O607" s="299">
        <v>18833</v>
      </c>
      <c r="P607" s="601">
        <f t="shared" si="177"/>
        <v>46278</v>
      </c>
      <c r="Q607" s="602">
        <f t="shared" si="178"/>
        <v>1542.6</v>
      </c>
      <c r="R607" s="603">
        <f t="shared" si="179"/>
        <v>47892</v>
      </c>
      <c r="S607" s="604">
        <f t="shared" si="180"/>
        <v>1596.4</v>
      </c>
      <c r="T607" s="298">
        <v>2156</v>
      </c>
      <c r="U607" s="299">
        <v>2272</v>
      </c>
      <c r="V607" s="601">
        <f t="shared" si="181"/>
        <v>46278</v>
      </c>
      <c r="W607" s="605">
        <f t="shared" si="182"/>
        <v>47892</v>
      </c>
      <c r="X607" s="305">
        <v>11534</v>
      </c>
      <c r="Y607" s="440">
        <v>7218</v>
      </c>
      <c r="Z607" s="298">
        <v>5982</v>
      </c>
      <c r="AA607" s="299">
        <v>352</v>
      </c>
      <c r="AB607" s="298">
        <v>14318</v>
      </c>
      <c r="AC607" s="299">
        <v>1426</v>
      </c>
      <c r="AD607" s="298">
        <v>16324</v>
      </c>
      <c r="AE607" s="299">
        <v>5416</v>
      </c>
      <c r="AF607" s="601">
        <f t="shared" si="183"/>
        <v>48158</v>
      </c>
      <c r="AG607" s="602">
        <f t="shared" si="184"/>
        <v>53.50888888888889</v>
      </c>
      <c r="AH607" s="603">
        <f t="shared" si="185"/>
        <v>14412</v>
      </c>
      <c r="AI607" s="603">
        <f t="shared" si="186"/>
        <v>16.013333333333332</v>
      </c>
      <c r="AJ607" s="298"/>
      <c r="AK607" s="299"/>
      <c r="AL607" s="601">
        <f t="shared" si="187"/>
        <v>0</v>
      </c>
      <c r="AM607" s="604">
        <f t="shared" si="188"/>
        <v>0</v>
      </c>
      <c r="AN607" s="306"/>
      <c r="AO607" s="307"/>
      <c r="AP607" s="298"/>
      <c r="AQ607" s="307"/>
      <c r="AR607" s="298"/>
      <c r="AS607" s="307"/>
      <c r="AT607" s="298"/>
      <c r="AU607" s="307"/>
      <c r="AV607" s="601">
        <f t="shared" si="189"/>
        <v>0</v>
      </c>
      <c r="AW607" s="609">
        <f t="shared" si="190"/>
        <v>0</v>
      </c>
      <c r="AX607" s="603">
        <f t="shared" si="191"/>
        <v>0</v>
      </c>
      <c r="AY607" s="610">
        <f t="shared" si="192"/>
        <v>0</v>
      </c>
      <c r="AZ607" s="611">
        <f t="shared" si="193"/>
        <v>1596.1088888888887</v>
      </c>
      <c r="BA607" s="603">
        <f t="shared" si="194"/>
        <v>1612.4133333333334</v>
      </c>
    </row>
    <row r="608" spans="1:53">
      <c r="A608" s="369" t="s">
        <v>33</v>
      </c>
      <c r="B608" s="447" t="s">
        <v>629</v>
      </c>
      <c r="C608" s="448"/>
      <c r="D608" s="369">
        <v>226107</v>
      </c>
      <c r="E608" s="449">
        <v>10</v>
      </c>
      <c r="F608" s="296" t="s">
        <v>52</v>
      </c>
      <c r="G608" s="297" t="s">
        <v>52</v>
      </c>
      <c r="H608" s="298">
        <v>21302</v>
      </c>
      <c r="I608" s="299">
        <v>23859</v>
      </c>
      <c r="J608" s="298">
        <v>7599</v>
      </c>
      <c r="K608" s="299">
        <v>7301</v>
      </c>
      <c r="L608" s="298">
        <v>0</v>
      </c>
      <c r="M608" s="299">
        <v>0</v>
      </c>
      <c r="N608" s="298">
        <v>24693</v>
      </c>
      <c r="O608" s="299">
        <v>24866</v>
      </c>
      <c r="P608" s="601">
        <f t="shared" si="177"/>
        <v>53594</v>
      </c>
      <c r="Q608" s="602">
        <f t="shared" si="178"/>
        <v>1786.4666666666667</v>
      </c>
      <c r="R608" s="603">
        <f t="shared" si="179"/>
        <v>56026</v>
      </c>
      <c r="S608" s="604">
        <f t="shared" si="180"/>
        <v>1867.5333333333333</v>
      </c>
      <c r="T608" s="298">
        <v>2111</v>
      </c>
      <c r="U608" s="299">
        <v>3496</v>
      </c>
      <c r="V608" s="601">
        <f t="shared" si="181"/>
        <v>53594</v>
      </c>
      <c r="W608" s="605">
        <f t="shared" si="182"/>
        <v>56026</v>
      </c>
      <c r="X608" s="305">
        <v>14287</v>
      </c>
      <c r="Y608" s="440">
        <v>3710</v>
      </c>
      <c r="Z608" s="298">
        <v>10594</v>
      </c>
      <c r="AA608" s="299">
        <v>6264</v>
      </c>
      <c r="AB608" s="298">
        <v>10326</v>
      </c>
      <c r="AC608" s="299">
        <v>9748</v>
      </c>
      <c r="AD608" s="298">
        <v>9658</v>
      </c>
      <c r="AE608" s="299">
        <v>5570</v>
      </c>
      <c r="AF608" s="601">
        <f t="shared" si="183"/>
        <v>44865</v>
      </c>
      <c r="AG608" s="602">
        <f t="shared" si="184"/>
        <v>49.85</v>
      </c>
      <c r="AH608" s="603">
        <f t="shared" si="185"/>
        <v>25292</v>
      </c>
      <c r="AI608" s="603">
        <f t="shared" si="186"/>
        <v>28.102222222222224</v>
      </c>
      <c r="AJ608" s="298"/>
      <c r="AK608" s="299"/>
      <c r="AL608" s="601">
        <f t="shared" si="187"/>
        <v>0</v>
      </c>
      <c r="AM608" s="604">
        <f t="shared" si="188"/>
        <v>0</v>
      </c>
      <c r="AN608" s="306"/>
      <c r="AO608" s="307"/>
      <c r="AP608" s="298"/>
      <c r="AQ608" s="307"/>
      <c r="AR608" s="298"/>
      <c r="AS608" s="307"/>
      <c r="AT608" s="298"/>
      <c r="AU608" s="307"/>
      <c r="AV608" s="601">
        <f t="shared" si="189"/>
        <v>0</v>
      </c>
      <c r="AW608" s="609">
        <f t="shared" si="190"/>
        <v>0</v>
      </c>
      <c r="AX608" s="603">
        <f t="shared" si="191"/>
        <v>0</v>
      </c>
      <c r="AY608" s="610">
        <f t="shared" si="192"/>
        <v>0</v>
      </c>
      <c r="AZ608" s="611">
        <f t="shared" si="193"/>
        <v>1836.3166666666666</v>
      </c>
      <c r="BA608" s="603">
        <f t="shared" si="194"/>
        <v>1895.6355555555556</v>
      </c>
    </row>
    <row r="609" spans="1:53">
      <c r="A609" s="369" t="s">
        <v>33</v>
      </c>
      <c r="B609" s="447" t="s">
        <v>630</v>
      </c>
      <c r="C609" s="460" t="s">
        <v>270</v>
      </c>
      <c r="D609" s="369">
        <v>226116</v>
      </c>
      <c r="E609" s="449">
        <v>10</v>
      </c>
      <c r="F609" s="296" t="s">
        <v>52</v>
      </c>
      <c r="G609" s="297" t="s">
        <v>52</v>
      </c>
      <c r="H609" s="298">
        <v>20317</v>
      </c>
      <c r="I609" s="299">
        <v>24710</v>
      </c>
      <c r="J609" s="298">
        <v>4059</v>
      </c>
      <c r="K609" s="299">
        <v>8495</v>
      </c>
      <c r="L609" s="298">
        <v>3404</v>
      </c>
      <c r="M609" s="299">
        <v>3143</v>
      </c>
      <c r="N609" s="298">
        <v>23154</v>
      </c>
      <c r="O609" s="299">
        <v>22917</v>
      </c>
      <c r="P609" s="601">
        <f t="shared" si="177"/>
        <v>50934</v>
      </c>
      <c r="Q609" s="602">
        <f t="shared" si="178"/>
        <v>1697.8</v>
      </c>
      <c r="R609" s="603">
        <f t="shared" si="179"/>
        <v>59265</v>
      </c>
      <c r="S609" s="604">
        <f t="shared" si="180"/>
        <v>1975.5</v>
      </c>
      <c r="T609" s="298">
        <v>2363</v>
      </c>
      <c r="U609" s="299">
        <v>2050</v>
      </c>
      <c r="V609" s="601">
        <f t="shared" si="181"/>
        <v>50934</v>
      </c>
      <c r="W609" s="605">
        <f t="shared" si="182"/>
        <v>59265</v>
      </c>
      <c r="X609" s="305">
        <v>82932</v>
      </c>
      <c r="Y609" s="440">
        <v>79181</v>
      </c>
      <c r="Z609" s="298">
        <v>67716</v>
      </c>
      <c r="AA609" s="299">
        <v>68240</v>
      </c>
      <c r="AB609" s="298">
        <v>46918</v>
      </c>
      <c r="AC609" s="299">
        <v>53712</v>
      </c>
      <c r="AD609" s="298">
        <v>97408</v>
      </c>
      <c r="AE609" s="299">
        <v>97248</v>
      </c>
      <c r="AF609" s="601">
        <f t="shared" si="183"/>
        <v>294974</v>
      </c>
      <c r="AG609" s="602">
        <f t="shared" si="184"/>
        <v>327.74888888888887</v>
      </c>
      <c r="AH609" s="603">
        <f t="shared" si="185"/>
        <v>298381</v>
      </c>
      <c r="AI609" s="603">
        <f t="shared" si="186"/>
        <v>331.53444444444443</v>
      </c>
      <c r="AJ609" s="298"/>
      <c r="AK609" s="299"/>
      <c r="AL609" s="601">
        <f t="shared" si="187"/>
        <v>0</v>
      </c>
      <c r="AM609" s="604">
        <f t="shared" si="188"/>
        <v>0</v>
      </c>
      <c r="AN609" s="306"/>
      <c r="AO609" s="307"/>
      <c r="AP609" s="298"/>
      <c r="AQ609" s="307"/>
      <c r="AR609" s="298"/>
      <c r="AS609" s="307"/>
      <c r="AT609" s="298"/>
      <c r="AU609" s="307"/>
      <c r="AV609" s="601">
        <f t="shared" si="189"/>
        <v>0</v>
      </c>
      <c r="AW609" s="609">
        <f t="shared" si="190"/>
        <v>0</v>
      </c>
      <c r="AX609" s="603">
        <f t="shared" si="191"/>
        <v>0</v>
      </c>
      <c r="AY609" s="610">
        <f t="shared" si="192"/>
        <v>0</v>
      </c>
      <c r="AZ609" s="611">
        <f t="shared" si="193"/>
        <v>2025.5488888888888</v>
      </c>
      <c r="BA609" s="603">
        <f t="shared" si="194"/>
        <v>2307.0344444444445</v>
      </c>
    </row>
    <row r="610" spans="1:53">
      <c r="A610" s="369" t="s">
        <v>33</v>
      </c>
      <c r="B610" s="461" t="s">
        <v>631</v>
      </c>
      <c r="C610" s="462"/>
      <c r="D610" s="369" t="s">
        <v>632</v>
      </c>
      <c r="E610" s="449">
        <v>10</v>
      </c>
      <c r="F610" s="296" t="s">
        <v>52</v>
      </c>
      <c r="G610" s="297" t="s">
        <v>52</v>
      </c>
      <c r="H610" s="298">
        <v>4772</v>
      </c>
      <c r="I610" s="299">
        <v>7011</v>
      </c>
      <c r="J610" s="298">
        <v>634</v>
      </c>
      <c r="K610" s="299">
        <v>608</v>
      </c>
      <c r="L610" s="298">
        <v>262</v>
      </c>
      <c r="M610" s="299">
        <v>0</v>
      </c>
      <c r="N610" s="298">
        <v>8315</v>
      </c>
      <c r="O610" s="299">
        <v>6307</v>
      </c>
      <c r="P610" s="601">
        <f t="shared" si="177"/>
        <v>13983</v>
      </c>
      <c r="Q610" s="602">
        <f t="shared" si="178"/>
        <v>466.1</v>
      </c>
      <c r="R610" s="603">
        <f t="shared" si="179"/>
        <v>13926</v>
      </c>
      <c r="S610" s="604">
        <f t="shared" si="180"/>
        <v>464.2</v>
      </c>
      <c r="T610" s="298">
        <v>9</v>
      </c>
      <c r="U610" s="299">
        <v>13</v>
      </c>
      <c r="V610" s="601">
        <f t="shared" si="181"/>
        <v>13983</v>
      </c>
      <c r="W610" s="605">
        <f t="shared" si="182"/>
        <v>13926</v>
      </c>
      <c r="X610" s="305">
        <v>4404</v>
      </c>
      <c r="Y610" s="440">
        <v>14184</v>
      </c>
      <c r="Z610" s="298">
        <v>6048</v>
      </c>
      <c r="AA610" s="299">
        <v>17464</v>
      </c>
      <c r="AB610" s="298">
        <v>9244</v>
      </c>
      <c r="AC610" s="299">
        <v>19808</v>
      </c>
      <c r="AD610" s="298">
        <v>17168</v>
      </c>
      <c r="AE610" s="299">
        <v>14280</v>
      </c>
      <c r="AF610" s="601">
        <f t="shared" si="183"/>
        <v>36864</v>
      </c>
      <c r="AG610" s="602">
        <f t="shared" si="184"/>
        <v>40.96</v>
      </c>
      <c r="AH610" s="603">
        <f t="shared" si="185"/>
        <v>65736</v>
      </c>
      <c r="AI610" s="603">
        <f t="shared" si="186"/>
        <v>73.040000000000006</v>
      </c>
      <c r="AJ610" s="298"/>
      <c r="AK610" s="299"/>
      <c r="AL610" s="601">
        <f t="shared" si="187"/>
        <v>0</v>
      </c>
      <c r="AM610" s="604">
        <f t="shared" si="188"/>
        <v>0</v>
      </c>
      <c r="AN610" s="306"/>
      <c r="AO610" s="307"/>
      <c r="AP610" s="298"/>
      <c r="AQ610" s="307"/>
      <c r="AR610" s="298"/>
      <c r="AS610" s="307"/>
      <c r="AT610" s="298"/>
      <c r="AU610" s="307"/>
      <c r="AV610" s="601">
        <f t="shared" si="189"/>
        <v>0</v>
      </c>
      <c r="AW610" s="609">
        <f t="shared" si="190"/>
        <v>0</v>
      </c>
      <c r="AX610" s="603">
        <f t="shared" si="191"/>
        <v>0</v>
      </c>
      <c r="AY610" s="610">
        <f t="shared" si="192"/>
        <v>0</v>
      </c>
      <c r="AZ610" s="611">
        <f t="shared" si="193"/>
        <v>507.06</v>
      </c>
      <c r="BA610" s="603">
        <f t="shared" si="194"/>
        <v>537.24</v>
      </c>
    </row>
    <row r="611" spans="1:53">
      <c r="A611" s="369" t="s">
        <v>33</v>
      </c>
      <c r="B611" s="447" t="s">
        <v>634</v>
      </c>
      <c r="C611" s="448"/>
      <c r="D611" s="369">
        <v>227386</v>
      </c>
      <c r="E611" s="449">
        <v>10</v>
      </c>
      <c r="F611" s="296" t="s">
        <v>52</v>
      </c>
      <c r="G611" s="297" t="s">
        <v>52</v>
      </c>
      <c r="H611" s="298">
        <v>19978</v>
      </c>
      <c r="I611" s="299">
        <v>21103</v>
      </c>
      <c r="J611" s="298">
        <v>4238</v>
      </c>
      <c r="K611" s="299">
        <v>3884</v>
      </c>
      <c r="L611" s="298">
        <v>1424</v>
      </c>
      <c r="M611" s="299">
        <v>1652</v>
      </c>
      <c r="N611" s="298">
        <v>22057</v>
      </c>
      <c r="O611" s="299">
        <v>24407</v>
      </c>
      <c r="P611" s="601">
        <f t="shared" si="177"/>
        <v>47697</v>
      </c>
      <c r="Q611" s="602">
        <f t="shared" si="178"/>
        <v>1589.9</v>
      </c>
      <c r="R611" s="603">
        <f t="shared" si="179"/>
        <v>51046</v>
      </c>
      <c r="S611" s="604">
        <f t="shared" si="180"/>
        <v>1701.5333333333333</v>
      </c>
      <c r="T611" s="298">
        <v>3990</v>
      </c>
      <c r="U611" s="299">
        <v>4557</v>
      </c>
      <c r="V611" s="601">
        <f t="shared" si="181"/>
        <v>47697</v>
      </c>
      <c r="W611" s="605">
        <f t="shared" si="182"/>
        <v>51046</v>
      </c>
      <c r="X611" s="305">
        <v>12581</v>
      </c>
      <c r="Y611" s="440">
        <v>11636</v>
      </c>
      <c r="Z611" s="298">
        <v>16771</v>
      </c>
      <c r="AA611" s="299">
        <v>4801</v>
      </c>
      <c r="AB611" s="298">
        <v>10656</v>
      </c>
      <c r="AC611" s="299">
        <v>16276</v>
      </c>
      <c r="AD611" s="298">
        <v>9470</v>
      </c>
      <c r="AE611" s="299">
        <v>7011</v>
      </c>
      <c r="AF611" s="601">
        <f t="shared" si="183"/>
        <v>49478</v>
      </c>
      <c r="AG611" s="602">
        <f t="shared" si="184"/>
        <v>54.975555555555559</v>
      </c>
      <c r="AH611" s="603">
        <f t="shared" si="185"/>
        <v>39724</v>
      </c>
      <c r="AI611" s="603">
        <f t="shared" si="186"/>
        <v>44.137777777777778</v>
      </c>
      <c r="AJ611" s="298"/>
      <c r="AK611" s="299"/>
      <c r="AL611" s="601">
        <f t="shared" si="187"/>
        <v>0</v>
      </c>
      <c r="AM611" s="604">
        <f t="shared" si="188"/>
        <v>0</v>
      </c>
      <c r="AN611" s="306"/>
      <c r="AO611" s="307"/>
      <c r="AP611" s="298"/>
      <c r="AQ611" s="307"/>
      <c r="AR611" s="298"/>
      <c r="AS611" s="307"/>
      <c r="AT611" s="298"/>
      <c r="AU611" s="307"/>
      <c r="AV611" s="601">
        <f t="shared" si="189"/>
        <v>0</v>
      </c>
      <c r="AW611" s="609">
        <f t="shared" si="190"/>
        <v>0</v>
      </c>
      <c r="AX611" s="603">
        <f t="shared" si="191"/>
        <v>0</v>
      </c>
      <c r="AY611" s="610">
        <f t="shared" si="192"/>
        <v>0</v>
      </c>
      <c r="AZ611" s="611">
        <f t="shared" si="193"/>
        <v>1644.8755555555556</v>
      </c>
      <c r="BA611" s="603">
        <f t="shared" si="194"/>
        <v>1745.671111111111</v>
      </c>
    </row>
    <row r="612" spans="1:53">
      <c r="A612" s="369" t="s">
        <v>33</v>
      </c>
      <c r="B612" s="447" t="s">
        <v>635</v>
      </c>
      <c r="C612" s="448"/>
      <c r="D612" s="369">
        <v>227687</v>
      </c>
      <c r="E612" s="449">
        <v>10</v>
      </c>
      <c r="F612" s="296" t="s">
        <v>52</v>
      </c>
      <c r="G612" s="297" t="s">
        <v>52</v>
      </c>
      <c r="H612" s="298">
        <v>8613</v>
      </c>
      <c r="I612" s="299">
        <v>13281</v>
      </c>
      <c r="J612" s="298">
        <v>2289</v>
      </c>
      <c r="K612" s="299">
        <v>3013</v>
      </c>
      <c r="L612" s="298">
        <v>496</v>
      </c>
      <c r="M612" s="299">
        <v>720</v>
      </c>
      <c r="N612" s="298">
        <v>15194</v>
      </c>
      <c r="O612" s="299">
        <v>17826</v>
      </c>
      <c r="P612" s="601">
        <f t="shared" si="177"/>
        <v>26592</v>
      </c>
      <c r="Q612" s="602">
        <f t="shared" si="178"/>
        <v>886.4</v>
      </c>
      <c r="R612" s="603">
        <f t="shared" si="179"/>
        <v>34840</v>
      </c>
      <c r="S612" s="604">
        <f t="shared" si="180"/>
        <v>1161.3333333333333</v>
      </c>
      <c r="T612" s="298">
        <v>4338</v>
      </c>
      <c r="U612" s="299">
        <v>4096</v>
      </c>
      <c r="V612" s="601">
        <f t="shared" si="181"/>
        <v>26592</v>
      </c>
      <c r="W612" s="605">
        <f t="shared" si="182"/>
        <v>34840</v>
      </c>
      <c r="X612" s="305">
        <v>5351</v>
      </c>
      <c r="Y612" s="440">
        <v>1235</v>
      </c>
      <c r="Z612" s="298">
        <v>4712</v>
      </c>
      <c r="AA612" s="299">
        <v>4892</v>
      </c>
      <c r="AB612" s="298">
        <v>5787</v>
      </c>
      <c r="AC612" s="299">
        <v>1552</v>
      </c>
      <c r="AD612" s="298">
        <v>831</v>
      </c>
      <c r="AE612" s="299">
        <v>756</v>
      </c>
      <c r="AF612" s="601">
        <f t="shared" si="183"/>
        <v>16681</v>
      </c>
      <c r="AG612" s="602">
        <f t="shared" si="184"/>
        <v>18.534444444444443</v>
      </c>
      <c r="AH612" s="603">
        <f t="shared" si="185"/>
        <v>8435</v>
      </c>
      <c r="AI612" s="603">
        <f t="shared" si="186"/>
        <v>9.3722222222222218</v>
      </c>
      <c r="AJ612" s="298"/>
      <c r="AK612" s="299"/>
      <c r="AL612" s="601">
        <f t="shared" si="187"/>
        <v>0</v>
      </c>
      <c r="AM612" s="604">
        <f t="shared" si="188"/>
        <v>0</v>
      </c>
      <c r="AN612" s="306"/>
      <c r="AO612" s="307"/>
      <c r="AP612" s="298"/>
      <c r="AQ612" s="307"/>
      <c r="AR612" s="298"/>
      <c r="AS612" s="307"/>
      <c r="AT612" s="298"/>
      <c r="AU612" s="307"/>
      <c r="AV612" s="601">
        <f t="shared" si="189"/>
        <v>0</v>
      </c>
      <c r="AW612" s="609">
        <f t="shared" si="190"/>
        <v>0</v>
      </c>
      <c r="AX612" s="603">
        <f t="shared" si="191"/>
        <v>0</v>
      </c>
      <c r="AY612" s="610">
        <f t="shared" si="192"/>
        <v>0</v>
      </c>
      <c r="AZ612" s="611">
        <f t="shared" si="193"/>
        <v>904.93444444444447</v>
      </c>
      <c r="BA612" s="603">
        <f t="shared" si="194"/>
        <v>1170.7055555555555</v>
      </c>
    </row>
    <row r="613" spans="1:53">
      <c r="A613" s="369" t="s">
        <v>33</v>
      </c>
      <c r="B613" s="463" t="s">
        <v>636</v>
      </c>
      <c r="C613" s="464"/>
      <c r="D613" s="369">
        <v>382911</v>
      </c>
      <c r="E613" s="449">
        <v>10</v>
      </c>
      <c r="F613" s="296" t="s">
        <v>52</v>
      </c>
      <c r="G613" s="297" t="s">
        <v>52</v>
      </c>
      <c r="H613" s="298">
        <v>1001</v>
      </c>
      <c r="I613" s="299">
        <v>1056</v>
      </c>
      <c r="J613" s="298"/>
      <c r="K613" s="299">
        <v>27</v>
      </c>
      <c r="L613" s="298"/>
      <c r="M613" s="299">
        <v>21</v>
      </c>
      <c r="N613" s="298">
        <v>1066</v>
      </c>
      <c r="O613" s="299">
        <v>1615</v>
      </c>
      <c r="P613" s="601">
        <f t="shared" si="177"/>
        <v>2067</v>
      </c>
      <c r="Q613" s="602">
        <f t="shared" si="178"/>
        <v>68.900000000000006</v>
      </c>
      <c r="R613" s="603">
        <f t="shared" si="179"/>
        <v>2719</v>
      </c>
      <c r="S613" s="604">
        <f t="shared" si="180"/>
        <v>90.63333333333334</v>
      </c>
      <c r="T613" s="298">
        <v>0</v>
      </c>
      <c r="U613" s="299">
        <v>66</v>
      </c>
      <c r="V613" s="601">
        <f t="shared" si="181"/>
        <v>2067</v>
      </c>
      <c r="W613" s="605">
        <f t="shared" si="182"/>
        <v>2719</v>
      </c>
      <c r="X613" s="305"/>
      <c r="Y613" s="440"/>
      <c r="Z613" s="298"/>
      <c r="AA613" s="299"/>
      <c r="AB613" s="298"/>
      <c r="AC613" s="299"/>
      <c r="AD613" s="298"/>
      <c r="AE613" s="299"/>
      <c r="AF613" s="601">
        <f t="shared" si="183"/>
        <v>0</v>
      </c>
      <c r="AG613" s="602">
        <f t="shared" si="184"/>
        <v>0</v>
      </c>
      <c r="AH613" s="603">
        <f t="shared" si="185"/>
        <v>0</v>
      </c>
      <c r="AI613" s="603">
        <f t="shared" si="186"/>
        <v>0</v>
      </c>
      <c r="AJ613" s="298"/>
      <c r="AK613" s="299"/>
      <c r="AL613" s="601">
        <f t="shared" si="187"/>
        <v>0</v>
      </c>
      <c r="AM613" s="604">
        <f t="shared" si="188"/>
        <v>0</v>
      </c>
      <c r="AN613" s="306"/>
      <c r="AO613" s="307"/>
      <c r="AP613" s="298"/>
      <c r="AQ613" s="307"/>
      <c r="AR613" s="298"/>
      <c r="AS613" s="307"/>
      <c r="AT613" s="298"/>
      <c r="AU613" s="307"/>
      <c r="AV613" s="601">
        <f t="shared" si="189"/>
        <v>0</v>
      </c>
      <c r="AW613" s="609">
        <f t="shared" si="190"/>
        <v>0</v>
      </c>
      <c r="AX613" s="603">
        <f t="shared" si="191"/>
        <v>0</v>
      </c>
      <c r="AY613" s="610">
        <f t="shared" si="192"/>
        <v>0</v>
      </c>
      <c r="AZ613" s="611">
        <f t="shared" si="193"/>
        <v>68.900000000000006</v>
      </c>
      <c r="BA613" s="603">
        <f t="shared" si="194"/>
        <v>90.63333333333334</v>
      </c>
    </row>
    <row r="614" spans="1:53">
      <c r="A614" s="369" t="s">
        <v>33</v>
      </c>
      <c r="B614" s="447" t="s">
        <v>637</v>
      </c>
      <c r="C614" s="448"/>
      <c r="D614" s="369">
        <v>408394</v>
      </c>
      <c r="E614" s="449">
        <v>10</v>
      </c>
      <c r="F614" s="296" t="s">
        <v>52</v>
      </c>
      <c r="G614" s="297" t="s">
        <v>52</v>
      </c>
      <c r="H614" s="298">
        <v>9206</v>
      </c>
      <c r="I614" s="299">
        <v>8519</v>
      </c>
      <c r="J614" s="298">
        <v>5669</v>
      </c>
      <c r="K614" s="299">
        <v>5577</v>
      </c>
      <c r="L614" s="298">
        <v>0</v>
      </c>
      <c r="M614" s="299">
        <v>0</v>
      </c>
      <c r="N614" s="298">
        <v>8900</v>
      </c>
      <c r="O614" s="299">
        <v>7361</v>
      </c>
      <c r="P614" s="601">
        <f t="shared" si="177"/>
        <v>23775</v>
      </c>
      <c r="Q614" s="602">
        <f t="shared" si="178"/>
        <v>792.5</v>
      </c>
      <c r="R614" s="603">
        <f t="shared" si="179"/>
        <v>21457</v>
      </c>
      <c r="S614" s="604">
        <f t="shared" si="180"/>
        <v>715.23333333333335</v>
      </c>
      <c r="T614" s="298">
        <v>2424</v>
      </c>
      <c r="U614" s="299">
        <v>1945</v>
      </c>
      <c r="V614" s="601">
        <f t="shared" si="181"/>
        <v>23775</v>
      </c>
      <c r="W614" s="605">
        <f t="shared" si="182"/>
        <v>21457</v>
      </c>
      <c r="X614" s="305">
        <v>8516</v>
      </c>
      <c r="Y614" s="440">
        <v>4664</v>
      </c>
      <c r="Z614" s="298">
        <v>5784</v>
      </c>
      <c r="AA614" s="299">
        <v>8816</v>
      </c>
      <c r="AB614" s="298">
        <v>780</v>
      </c>
      <c r="AC614" s="299">
        <v>4812</v>
      </c>
      <c r="AD614" s="298">
        <v>884</v>
      </c>
      <c r="AE614" s="299">
        <v>3254</v>
      </c>
      <c r="AF614" s="601">
        <f t="shared" si="183"/>
        <v>15964</v>
      </c>
      <c r="AG614" s="602">
        <f t="shared" si="184"/>
        <v>17.737777777777779</v>
      </c>
      <c r="AH614" s="603">
        <f t="shared" si="185"/>
        <v>21546</v>
      </c>
      <c r="AI614" s="603">
        <f t="shared" si="186"/>
        <v>23.94</v>
      </c>
      <c r="AJ614" s="298"/>
      <c r="AK614" s="299"/>
      <c r="AL614" s="601">
        <f t="shared" si="187"/>
        <v>0</v>
      </c>
      <c r="AM614" s="604">
        <f t="shared" si="188"/>
        <v>0</v>
      </c>
      <c r="AN614" s="306"/>
      <c r="AO614" s="307"/>
      <c r="AP614" s="298"/>
      <c r="AQ614" s="307"/>
      <c r="AR614" s="298"/>
      <c r="AS614" s="307"/>
      <c r="AT614" s="298"/>
      <c r="AU614" s="307"/>
      <c r="AV614" s="601">
        <f t="shared" si="189"/>
        <v>0</v>
      </c>
      <c r="AW614" s="609">
        <f t="shared" si="190"/>
        <v>0</v>
      </c>
      <c r="AX614" s="603">
        <f t="shared" si="191"/>
        <v>0</v>
      </c>
      <c r="AY614" s="610">
        <f t="shared" si="192"/>
        <v>0</v>
      </c>
      <c r="AZ614" s="611">
        <f t="shared" si="193"/>
        <v>810.23777777777775</v>
      </c>
      <c r="BA614" s="603">
        <f t="shared" si="194"/>
        <v>739.1733333333334</v>
      </c>
    </row>
    <row r="615" spans="1:53">
      <c r="A615" s="369" t="s">
        <v>33</v>
      </c>
      <c r="B615" s="447" t="s">
        <v>638</v>
      </c>
      <c r="C615" s="448"/>
      <c r="D615" s="369">
        <v>229328</v>
      </c>
      <c r="E615" s="449">
        <v>10</v>
      </c>
      <c r="F615" s="296" t="s">
        <v>52</v>
      </c>
      <c r="G615" s="297" t="s">
        <v>52</v>
      </c>
      <c r="H615" s="298">
        <v>15214</v>
      </c>
      <c r="I615" s="299">
        <v>9998</v>
      </c>
      <c r="J615" s="298">
        <v>11520</v>
      </c>
      <c r="K615" s="299">
        <v>6966</v>
      </c>
      <c r="L615" s="298">
        <v>0</v>
      </c>
      <c r="M615" s="299">
        <v>0</v>
      </c>
      <c r="N615" s="298">
        <v>11941</v>
      </c>
      <c r="O615" s="307">
        <v>8244</v>
      </c>
      <c r="P615" s="601">
        <f t="shared" si="177"/>
        <v>38675</v>
      </c>
      <c r="Q615" s="602">
        <f t="shared" si="178"/>
        <v>1289.1666666666667</v>
      </c>
      <c r="R615" s="603">
        <f t="shared" si="179"/>
        <v>25208</v>
      </c>
      <c r="S615" s="604">
        <f t="shared" si="180"/>
        <v>840.26666666666665</v>
      </c>
      <c r="T615" s="298">
        <v>1450</v>
      </c>
      <c r="U615" s="299">
        <v>1671</v>
      </c>
      <c r="V615" s="601">
        <f t="shared" si="181"/>
        <v>38675</v>
      </c>
      <c r="W615" s="605">
        <f t="shared" si="182"/>
        <v>25208</v>
      </c>
      <c r="X615" s="305">
        <v>5849</v>
      </c>
      <c r="Y615" s="440">
        <v>1326</v>
      </c>
      <c r="Z615" s="298">
        <v>3994</v>
      </c>
      <c r="AA615" s="299">
        <v>2680</v>
      </c>
      <c r="AB615" s="298">
        <v>3591</v>
      </c>
      <c r="AC615" s="299">
        <v>1680</v>
      </c>
      <c r="AD615" s="298">
        <v>99</v>
      </c>
      <c r="AE615" s="299">
        <v>3806</v>
      </c>
      <c r="AF615" s="601">
        <f t="shared" si="183"/>
        <v>13533</v>
      </c>
      <c r="AG615" s="602">
        <f t="shared" si="184"/>
        <v>15.036666666666667</v>
      </c>
      <c r="AH615" s="603">
        <f t="shared" si="185"/>
        <v>9492</v>
      </c>
      <c r="AI615" s="603">
        <f t="shared" si="186"/>
        <v>10.546666666666667</v>
      </c>
      <c r="AJ615" s="298"/>
      <c r="AK615" s="299"/>
      <c r="AL615" s="601">
        <f t="shared" si="187"/>
        <v>0</v>
      </c>
      <c r="AM615" s="604">
        <f t="shared" si="188"/>
        <v>0</v>
      </c>
      <c r="AN615" s="306"/>
      <c r="AO615" s="307"/>
      <c r="AP615" s="298"/>
      <c r="AQ615" s="307"/>
      <c r="AR615" s="298"/>
      <c r="AS615" s="307"/>
      <c r="AT615" s="298"/>
      <c r="AU615" s="307"/>
      <c r="AV615" s="601">
        <f t="shared" si="189"/>
        <v>0</v>
      </c>
      <c r="AW615" s="609">
        <f t="shared" si="190"/>
        <v>0</v>
      </c>
      <c r="AX615" s="603">
        <f t="shared" si="191"/>
        <v>0</v>
      </c>
      <c r="AY615" s="610">
        <f t="shared" si="192"/>
        <v>0</v>
      </c>
      <c r="AZ615" s="611">
        <f t="shared" si="193"/>
        <v>1304.2033333333334</v>
      </c>
      <c r="BA615" s="603">
        <f t="shared" si="194"/>
        <v>850.81333333333328</v>
      </c>
    </row>
    <row r="616" spans="1:53">
      <c r="A616" s="369" t="s">
        <v>33</v>
      </c>
      <c r="B616" s="447" t="s">
        <v>639</v>
      </c>
      <c r="C616" s="448"/>
      <c r="D616" s="369">
        <v>229832</v>
      </c>
      <c r="E616" s="449">
        <v>10</v>
      </c>
      <c r="F616" s="296" t="s">
        <v>52</v>
      </c>
      <c r="G616" s="297" t="s">
        <v>52</v>
      </c>
      <c r="H616" s="298">
        <v>18752</v>
      </c>
      <c r="I616" s="299">
        <v>18588</v>
      </c>
      <c r="J616" s="298">
        <v>5609</v>
      </c>
      <c r="K616" s="299">
        <v>6757</v>
      </c>
      <c r="L616" s="298">
        <v>3942</v>
      </c>
      <c r="M616" s="307">
        <v>2025</v>
      </c>
      <c r="N616" s="298">
        <v>18773</v>
      </c>
      <c r="O616" s="307">
        <v>19091</v>
      </c>
      <c r="P616" s="601">
        <f t="shared" si="177"/>
        <v>47076</v>
      </c>
      <c r="Q616" s="602">
        <f t="shared" si="178"/>
        <v>1569.2</v>
      </c>
      <c r="R616" s="603">
        <f t="shared" si="179"/>
        <v>46461</v>
      </c>
      <c r="S616" s="604">
        <f t="shared" si="180"/>
        <v>1548.7</v>
      </c>
      <c r="T616" s="298">
        <v>6293</v>
      </c>
      <c r="U616" s="299">
        <v>7647</v>
      </c>
      <c r="V616" s="601">
        <f t="shared" si="181"/>
        <v>47076</v>
      </c>
      <c r="W616" s="605">
        <f t="shared" si="182"/>
        <v>46461</v>
      </c>
      <c r="X616" s="305">
        <v>62084</v>
      </c>
      <c r="Y616" s="440">
        <v>55834</v>
      </c>
      <c r="Z616" s="298">
        <v>58337</v>
      </c>
      <c r="AA616" s="299">
        <v>43685</v>
      </c>
      <c r="AB616" s="298">
        <v>38324</v>
      </c>
      <c r="AC616" s="299">
        <v>25964</v>
      </c>
      <c r="AD616" s="298">
        <v>48226</v>
      </c>
      <c r="AE616" s="299">
        <v>51524</v>
      </c>
      <c r="AF616" s="601">
        <f t="shared" si="183"/>
        <v>206971</v>
      </c>
      <c r="AG616" s="602">
        <f t="shared" si="184"/>
        <v>229.96777777777777</v>
      </c>
      <c r="AH616" s="603">
        <f t="shared" si="185"/>
        <v>177007</v>
      </c>
      <c r="AI616" s="603">
        <f t="shared" si="186"/>
        <v>196.67444444444445</v>
      </c>
      <c r="AJ616" s="298"/>
      <c r="AK616" s="299"/>
      <c r="AL616" s="601">
        <f t="shared" si="187"/>
        <v>0</v>
      </c>
      <c r="AM616" s="604">
        <f t="shared" si="188"/>
        <v>0</v>
      </c>
      <c r="AN616" s="306"/>
      <c r="AO616" s="307"/>
      <c r="AP616" s="298"/>
      <c r="AQ616" s="307"/>
      <c r="AR616" s="298"/>
      <c r="AS616" s="307"/>
      <c r="AT616" s="298"/>
      <c r="AU616" s="307"/>
      <c r="AV616" s="601">
        <f t="shared" si="189"/>
        <v>0</v>
      </c>
      <c r="AW616" s="609">
        <f t="shared" si="190"/>
        <v>0</v>
      </c>
      <c r="AX616" s="603">
        <f t="shared" si="191"/>
        <v>0</v>
      </c>
      <c r="AY616" s="610">
        <f t="shared" si="192"/>
        <v>0</v>
      </c>
      <c r="AZ616" s="611">
        <f t="shared" si="193"/>
        <v>1799.1677777777777</v>
      </c>
      <c r="BA616" s="603">
        <f t="shared" si="194"/>
        <v>1745.3744444444444</v>
      </c>
    </row>
    <row r="617" spans="1:53">
      <c r="A617" s="369" t="s">
        <v>33</v>
      </c>
      <c r="B617" s="444" t="s">
        <v>643</v>
      </c>
      <c r="C617" s="443" t="s">
        <v>644</v>
      </c>
      <c r="D617" s="465"/>
      <c r="E617" s="369" t="s">
        <v>252</v>
      </c>
      <c r="F617" s="296"/>
      <c r="G617" s="297" t="s">
        <v>52</v>
      </c>
      <c r="H617" s="439"/>
      <c r="I617" s="307"/>
      <c r="J617" s="439">
        <v>11169</v>
      </c>
      <c r="K617" s="307">
        <v>12946</v>
      </c>
      <c r="L617" s="439">
        <v>3000</v>
      </c>
      <c r="M617" s="307">
        <v>3846</v>
      </c>
      <c r="N617" s="439">
        <v>13632</v>
      </c>
      <c r="O617" s="307">
        <v>14752</v>
      </c>
      <c r="P617" s="601">
        <f t="shared" si="177"/>
        <v>27801</v>
      </c>
      <c r="Q617" s="602">
        <f t="shared" si="178"/>
        <v>926.7</v>
      </c>
      <c r="R617" s="603">
        <f t="shared" si="179"/>
        <v>31544</v>
      </c>
      <c r="S617" s="604">
        <f t="shared" si="180"/>
        <v>1051.4666666666667</v>
      </c>
      <c r="T617" s="439"/>
      <c r="U617" s="307">
        <v>0</v>
      </c>
      <c r="V617" s="601">
        <f t="shared" si="181"/>
        <v>0</v>
      </c>
      <c r="W617" s="605">
        <f t="shared" si="182"/>
        <v>31544</v>
      </c>
      <c r="X617" s="439"/>
      <c r="Y617" s="307"/>
      <c r="Z617" s="439"/>
      <c r="AA617" s="307"/>
      <c r="AB617" s="439"/>
      <c r="AC617" s="307"/>
      <c r="AD617" s="439"/>
      <c r="AE617" s="307"/>
      <c r="AF617" s="601">
        <f t="shared" si="183"/>
        <v>0</v>
      </c>
      <c r="AG617" s="602">
        <f t="shared" si="184"/>
        <v>0</v>
      </c>
      <c r="AH617" s="603">
        <f t="shared" si="185"/>
        <v>0</v>
      </c>
      <c r="AI617" s="603">
        <f t="shared" si="186"/>
        <v>0</v>
      </c>
      <c r="AJ617" s="298"/>
      <c r="AK617" s="299"/>
      <c r="AL617" s="601">
        <f t="shared" si="187"/>
        <v>0</v>
      </c>
      <c r="AM617" s="604">
        <f t="shared" si="188"/>
        <v>0</v>
      </c>
      <c r="AN617" s="306"/>
      <c r="AO617" s="307"/>
      <c r="AP617" s="298">
        <v>1813</v>
      </c>
      <c r="AQ617" s="307">
        <v>1337</v>
      </c>
      <c r="AR617" s="298">
        <v>1245</v>
      </c>
      <c r="AS617" s="307">
        <v>1234</v>
      </c>
      <c r="AT617" s="298">
        <v>1440</v>
      </c>
      <c r="AU617" s="307">
        <v>1281</v>
      </c>
      <c r="AV617" s="601">
        <f t="shared" si="189"/>
        <v>4498</v>
      </c>
      <c r="AW617" s="609">
        <f t="shared" si="190"/>
        <v>187.41666666666666</v>
      </c>
      <c r="AX617" s="603">
        <f t="shared" si="191"/>
        <v>3852</v>
      </c>
      <c r="AY617" s="610">
        <f t="shared" si="192"/>
        <v>160.5</v>
      </c>
      <c r="AZ617" s="611">
        <f t="shared" si="193"/>
        <v>1114.1166666666668</v>
      </c>
      <c r="BA617" s="603">
        <f t="shared" si="194"/>
        <v>1211.9666666666667</v>
      </c>
    </row>
    <row r="618" spans="1:53">
      <c r="A618" s="369" t="s">
        <v>33</v>
      </c>
      <c r="B618" s="444" t="s">
        <v>640</v>
      </c>
      <c r="C618" s="443" t="s">
        <v>723</v>
      </c>
      <c r="D618" s="465"/>
      <c r="E618" s="369" t="s">
        <v>252</v>
      </c>
      <c r="F618" s="296"/>
      <c r="G618" s="297" t="s">
        <v>52</v>
      </c>
      <c r="H618" s="439"/>
      <c r="I618" s="307"/>
      <c r="J618" s="439">
        <v>12512</v>
      </c>
      <c r="K618" s="307">
        <v>12402</v>
      </c>
      <c r="L618" s="439">
        <v>8082</v>
      </c>
      <c r="M618" s="307">
        <v>8451</v>
      </c>
      <c r="N618" s="439">
        <v>10510</v>
      </c>
      <c r="O618" s="307">
        <v>10262</v>
      </c>
      <c r="P618" s="601">
        <f t="shared" si="177"/>
        <v>31104</v>
      </c>
      <c r="Q618" s="602">
        <f t="shared" si="178"/>
        <v>1036.8</v>
      </c>
      <c r="R618" s="603">
        <f t="shared" si="179"/>
        <v>31115</v>
      </c>
      <c r="S618" s="604">
        <f t="shared" si="180"/>
        <v>1037.1666666666667</v>
      </c>
      <c r="T618" s="439"/>
      <c r="U618" s="307">
        <v>0</v>
      </c>
      <c r="V618" s="601">
        <f t="shared" si="181"/>
        <v>0</v>
      </c>
      <c r="W618" s="605">
        <f t="shared" si="182"/>
        <v>31115</v>
      </c>
      <c r="X618" s="439"/>
      <c r="Y618" s="307"/>
      <c r="Z618" s="439"/>
      <c r="AA618" s="307"/>
      <c r="AB618" s="439"/>
      <c r="AC618" s="307"/>
      <c r="AD618" s="439"/>
      <c r="AE618" s="307"/>
      <c r="AF618" s="601">
        <f t="shared" si="183"/>
        <v>0</v>
      </c>
      <c r="AG618" s="602">
        <f t="shared" si="184"/>
        <v>0</v>
      </c>
      <c r="AH618" s="603">
        <f t="shared" si="185"/>
        <v>0</v>
      </c>
      <c r="AI618" s="603">
        <f t="shared" si="186"/>
        <v>0</v>
      </c>
      <c r="AJ618" s="298"/>
      <c r="AK618" s="299"/>
      <c r="AL618" s="601">
        <f t="shared" si="187"/>
        <v>0</v>
      </c>
      <c r="AM618" s="604">
        <f t="shared" si="188"/>
        <v>0</v>
      </c>
      <c r="AN618" s="306"/>
      <c r="AO618" s="307"/>
      <c r="AP618" s="298">
        <v>4625</v>
      </c>
      <c r="AQ618" s="307">
        <v>4516</v>
      </c>
      <c r="AR618" s="298">
        <v>3805</v>
      </c>
      <c r="AS618" s="307">
        <v>3173</v>
      </c>
      <c r="AT618" s="298">
        <v>3754</v>
      </c>
      <c r="AU618" s="307">
        <v>3797</v>
      </c>
      <c r="AV618" s="601">
        <f t="shared" si="189"/>
        <v>12184</v>
      </c>
      <c r="AW618" s="609">
        <f t="shared" si="190"/>
        <v>507.66666666666669</v>
      </c>
      <c r="AX618" s="603">
        <f t="shared" si="191"/>
        <v>11486</v>
      </c>
      <c r="AY618" s="610">
        <f t="shared" si="192"/>
        <v>478.58333333333331</v>
      </c>
      <c r="AZ618" s="611">
        <f t="shared" si="193"/>
        <v>1544.4666666666667</v>
      </c>
      <c r="BA618" s="603">
        <f t="shared" si="194"/>
        <v>1515.75</v>
      </c>
    </row>
    <row r="619" spans="1:53">
      <c r="A619" s="369" t="s">
        <v>33</v>
      </c>
      <c r="B619" s="444" t="s">
        <v>641</v>
      </c>
      <c r="C619" s="443" t="s">
        <v>724</v>
      </c>
      <c r="D619" s="369" t="s">
        <v>642</v>
      </c>
      <c r="E619" s="369" t="s">
        <v>252</v>
      </c>
      <c r="F619" s="296"/>
      <c r="G619" s="297" t="s">
        <v>52</v>
      </c>
      <c r="H619" s="439"/>
      <c r="I619" s="307"/>
      <c r="J619" s="439">
        <v>18064</v>
      </c>
      <c r="K619" s="307">
        <v>21987</v>
      </c>
      <c r="L619" s="439">
        <v>6416</v>
      </c>
      <c r="M619" s="307">
        <v>6950</v>
      </c>
      <c r="N619" s="439">
        <v>22386</v>
      </c>
      <c r="O619" s="307">
        <v>25096</v>
      </c>
      <c r="P619" s="601">
        <f t="shared" si="177"/>
        <v>46866</v>
      </c>
      <c r="Q619" s="602">
        <f t="shared" si="178"/>
        <v>1562.2</v>
      </c>
      <c r="R619" s="603">
        <f t="shared" si="179"/>
        <v>54033</v>
      </c>
      <c r="S619" s="604">
        <f t="shared" si="180"/>
        <v>1801.1</v>
      </c>
      <c r="T619" s="439"/>
      <c r="U619" s="307">
        <v>0</v>
      </c>
      <c r="V619" s="601">
        <f t="shared" si="181"/>
        <v>0</v>
      </c>
      <c r="W619" s="605">
        <f t="shared" si="182"/>
        <v>54033</v>
      </c>
      <c r="X619" s="439"/>
      <c r="Y619" s="307"/>
      <c r="Z619" s="439"/>
      <c r="AA619" s="307"/>
      <c r="AB619" s="439"/>
      <c r="AC619" s="307"/>
      <c r="AD619" s="439"/>
      <c r="AE619" s="307"/>
      <c r="AF619" s="601">
        <f t="shared" si="183"/>
        <v>0</v>
      </c>
      <c r="AG619" s="602">
        <f t="shared" si="184"/>
        <v>0</v>
      </c>
      <c r="AH619" s="603">
        <f t="shared" si="185"/>
        <v>0</v>
      </c>
      <c r="AI619" s="603">
        <f t="shared" si="186"/>
        <v>0</v>
      </c>
      <c r="AJ619" s="298"/>
      <c r="AK619" s="299"/>
      <c r="AL619" s="601">
        <f t="shared" si="187"/>
        <v>0</v>
      </c>
      <c r="AM619" s="604">
        <f t="shared" si="188"/>
        <v>0</v>
      </c>
      <c r="AN619" s="306"/>
      <c r="AO619" s="307"/>
      <c r="AP619" s="298">
        <v>4647</v>
      </c>
      <c r="AQ619" s="307">
        <v>5762</v>
      </c>
      <c r="AR619" s="298">
        <v>2739</v>
      </c>
      <c r="AS619" s="307">
        <v>2996</v>
      </c>
      <c r="AT619" s="298">
        <v>5249</v>
      </c>
      <c r="AU619" s="307">
        <v>6123</v>
      </c>
      <c r="AV619" s="601">
        <f t="shared" si="189"/>
        <v>12635</v>
      </c>
      <c r="AW619" s="609">
        <f t="shared" si="190"/>
        <v>526.45833333333337</v>
      </c>
      <c r="AX619" s="603">
        <f t="shared" si="191"/>
        <v>14881</v>
      </c>
      <c r="AY619" s="610">
        <f t="shared" si="192"/>
        <v>620.04166666666663</v>
      </c>
      <c r="AZ619" s="611">
        <f t="shared" si="193"/>
        <v>2088.6583333333333</v>
      </c>
      <c r="BA619" s="603">
        <f t="shared" si="194"/>
        <v>2421.1416666666664</v>
      </c>
    </row>
    <row r="620" spans="1:53">
      <c r="A620" s="369" t="s">
        <v>33</v>
      </c>
      <c r="B620" s="454" t="s">
        <v>645</v>
      </c>
      <c r="C620" s="455"/>
      <c r="D620" s="369"/>
      <c r="E620" s="449" t="s">
        <v>218</v>
      </c>
      <c r="F620" s="296" t="s">
        <v>52</v>
      </c>
      <c r="G620" s="297" t="s">
        <v>52</v>
      </c>
      <c r="H620" s="466">
        <f t="shared" ref="H620:O620" si="195">SUM(H569,H570,H572,H575)</f>
        <v>450022</v>
      </c>
      <c r="I620" s="466">
        <f t="shared" si="195"/>
        <v>454427</v>
      </c>
      <c r="J620" s="466">
        <f t="shared" si="195"/>
        <v>131169</v>
      </c>
      <c r="K620" s="466">
        <f t="shared" si="195"/>
        <v>129478</v>
      </c>
      <c r="L620" s="466">
        <f t="shared" si="195"/>
        <v>56942</v>
      </c>
      <c r="M620" s="466">
        <f t="shared" si="195"/>
        <v>45757</v>
      </c>
      <c r="N620" s="466">
        <f t="shared" si="195"/>
        <v>430805</v>
      </c>
      <c r="O620" s="466">
        <f t="shared" si="195"/>
        <v>438278</v>
      </c>
      <c r="P620" s="601">
        <f t="shared" si="177"/>
        <v>1068938</v>
      </c>
      <c r="Q620" s="602">
        <f t="shared" si="178"/>
        <v>35631.26666666667</v>
      </c>
      <c r="R620" s="603">
        <f t="shared" si="179"/>
        <v>1067940</v>
      </c>
      <c r="S620" s="604">
        <f t="shared" si="180"/>
        <v>35598</v>
      </c>
      <c r="T620" s="466">
        <f>SUM(T569,T570,T572,T575)</f>
        <v>77027</v>
      </c>
      <c r="U620" s="466">
        <f>SUM(U569,U570,U572,U575)</f>
        <v>86103</v>
      </c>
      <c r="V620" s="601">
        <f t="shared" si="181"/>
        <v>1068938</v>
      </c>
      <c r="W620" s="605">
        <f t="shared" si="182"/>
        <v>1067940</v>
      </c>
      <c r="X620" s="466">
        <f t="shared" ref="X620:AE620" si="196">SUM(X569,X570,X572,X575)</f>
        <v>413918</v>
      </c>
      <c r="Y620" s="466">
        <f t="shared" si="196"/>
        <v>336581</v>
      </c>
      <c r="Z620" s="466">
        <f t="shared" si="196"/>
        <v>368849</v>
      </c>
      <c r="AA620" s="466">
        <f t="shared" si="196"/>
        <v>307577</v>
      </c>
      <c r="AB620" s="466">
        <f t="shared" si="196"/>
        <v>337145</v>
      </c>
      <c r="AC620" s="466">
        <f t="shared" si="196"/>
        <v>276608</v>
      </c>
      <c r="AD620" s="466">
        <f t="shared" si="196"/>
        <v>464306</v>
      </c>
      <c r="AE620" s="466">
        <f t="shared" si="196"/>
        <v>452407</v>
      </c>
      <c r="AF620" s="601">
        <f t="shared" si="183"/>
        <v>1584218</v>
      </c>
      <c r="AG620" s="602">
        <f t="shared" si="184"/>
        <v>1760.2422222222222</v>
      </c>
      <c r="AH620" s="603">
        <f t="shared" si="185"/>
        <v>1373173</v>
      </c>
      <c r="AI620" s="603">
        <f t="shared" si="186"/>
        <v>1525.7477777777779</v>
      </c>
      <c r="AJ620" s="298"/>
      <c r="AK620" s="299"/>
      <c r="AL620" s="601">
        <f t="shared" si="187"/>
        <v>0</v>
      </c>
      <c r="AM620" s="604">
        <f t="shared" si="188"/>
        <v>0</v>
      </c>
      <c r="AN620" s="306"/>
      <c r="AO620" s="307"/>
      <c r="AP620" s="298"/>
      <c r="AQ620" s="307"/>
      <c r="AR620" s="298"/>
      <c r="AS620" s="307"/>
      <c r="AT620" s="298"/>
      <c r="AU620" s="307"/>
      <c r="AV620" s="601">
        <f t="shared" si="189"/>
        <v>0</v>
      </c>
      <c r="AW620" s="609">
        <f t="shared" si="190"/>
        <v>0</v>
      </c>
      <c r="AX620" s="603">
        <f t="shared" si="191"/>
        <v>0</v>
      </c>
      <c r="AY620" s="610">
        <f t="shared" si="192"/>
        <v>0</v>
      </c>
      <c r="AZ620" s="611">
        <f t="shared" si="193"/>
        <v>37391.508888888893</v>
      </c>
      <c r="BA620" s="603">
        <f t="shared" si="194"/>
        <v>37123.747777777775</v>
      </c>
    </row>
    <row r="621" spans="1:53">
      <c r="A621" s="369" t="s">
        <v>33</v>
      </c>
      <c r="B621" s="450" t="s">
        <v>646</v>
      </c>
      <c r="C621" s="451"/>
      <c r="D621" s="369"/>
      <c r="E621" s="449" t="s">
        <v>218</v>
      </c>
      <c r="F621" s="296" t="s">
        <v>52</v>
      </c>
      <c r="G621" s="297" t="s">
        <v>52</v>
      </c>
      <c r="H621" s="467">
        <f t="shared" ref="H621:O621" si="197">SUM(H555,H559,H560,H568,H571)</f>
        <v>397373</v>
      </c>
      <c r="I621" s="467">
        <f t="shared" si="197"/>
        <v>419174</v>
      </c>
      <c r="J621" s="467">
        <f t="shared" si="197"/>
        <v>132678</v>
      </c>
      <c r="K621" s="467">
        <f t="shared" si="197"/>
        <v>137858</v>
      </c>
      <c r="L621" s="467">
        <f t="shared" si="197"/>
        <v>53982</v>
      </c>
      <c r="M621" s="467">
        <f t="shared" si="197"/>
        <v>44173</v>
      </c>
      <c r="N621" s="467">
        <f t="shared" si="197"/>
        <v>369579</v>
      </c>
      <c r="O621" s="467">
        <f t="shared" si="197"/>
        <v>396897</v>
      </c>
      <c r="P621" s="601">
        <f t="shared" si="177"/>
        <v>953612</v>
      </c>
      <c r="Q621" s="602">
        <f t="shared" si="178"/>
        <v>31787.066666666666</v>
      </c>
      <c r="R621" s="603">
        <f t="shared" si="179"/>
        <v>998102</v>
      </c>
      <c r="S621" s="604">
        <f t="shared" si="180"/>
        <v>33270.066666666666</v>
      </c>
      <c r="T621" s="467">
        <f>SUM(T555,T559,T560,T568,T571)</f>
        <v>59585</v>
      </c>
      <c r="U621" s="467">
        <f>SUM(U555,U559,U560,U568,U571)</f>
        <v>76982</v>
      </c>
      <c r="V621" s="601">
        <f t="shared" si="181"/>
        <v>953612</v>
      </c>
      <c r="W621" s="605">
        <f t="shared" si="182"/>
        <v>998102</v>
      </c>
      <c r="X621" s="467">
        <f t="shared" ref="X621:AE621" si="198">SUM(X555,X559,X560,X568,X571)</f>
        <v>702087</v>
      </c>
      <c r="Y621" s="467">
        <f t="shared" si="198"/>
        <v>409440</v>
      </c>
      <c r="Z621" s="467">
        <f t="shared" si="198"/>
        <v>661270</v>
      </c>
      <c r="AA621" s="467">
        <f t="shared" si="198"/>
        <v>441972</v>
      </c>
      <c r="AB621" s="467">
        <f t="shared" si="198"/>
        <v>784824</v>
      </c>
      <c r="AC621" s="467">
        <f t="shared" si="198"/>
        <v>380325</v>
      </c>
      <c r="AD621" s="467">
        <f t="shared" si="198"/>
        <v>803876</v>
      </c>
      <c r="AE621" s="467">
        <f t="shared" si="198"/>
        <v>490360</v>
      </c>
      <c r="AF621" s="601">
        <f t="shared" si="183"/>
        <v>2952057</v>
      </c>
      <c r="AG621" s="602">
        <f t="shared" si="184"/>
        <v>3280.0633333333335</v>
      </c>
      <c r="AH621" s="603">
        <f t="shared" si="185"/>
        <v>1722097</v>
      </c>
      <c r="AI621" s="603">
        <f t="shared" si="186"/>
        <v>1913.441111111111</v>
      </c>
      <c r="AJ621" s="298"/>
      <c r="AK621" s="299"/>
      <c r="AL621" s="601">
        <f t="shared" si="187"/>
        <v>0</v>
      </c>
      <c r="AM621" s="604">
        <f t="shared" si="188"/>
        <v>0</v>
      </c>
      <c r="AN621" s="306"/>
      <c r="AO621" s="307"/>
      <c r="AP621" s="298"/>
      <c r="AQ621" s="307"/>
      <c r="AR621" s="298"/>
      <c r="AS621" s="307"/>
      <c r="AT621" s="298"/>
      <c r="AU621" s="307"/>
      <c r="AV621" s="601">
        <f t="shared" si="189"/>
        <v>0</v>
      </c>
      <c r="AW621" s="609">
        <f t="shared" si="190"/>
        <v>0</v>
      </c>
      <c r="AX621" s="603">
        <f t="shared" si="191"/>
        <v>0</v>
      </c>
      <c r="AY621" s="610">
        <f t="shared" si="192"/>
        <v>0</v>
      </c>
      <c r="AZ621" s="611">
        <f t="shared" si="193"/>
        <v>35067.129999999997</v>
      </c>
      <c r="BA621" s="603">
        <f t="shared" si="194"/>
        <v>35183.507777777777</v>
      </c>
    </row>
    <row r="622" spans="1:53">
      <c r="A622" s="369" t="s">
        <v>33</v>
      </c>
      <c r="B622" s="456" t="s">
        <v>646</v>
      </c>
      <c r="C622" s="457"/>
      <c r="D622" s="369"/>
      <c r="E622" s="449" t="s">
        <v>219</v>
      </c>
      <c r="F622" s="296" t="s">
        <v>52</v>
      </c>
      <c r="G622" s="297" t="s">
        <v>52</v>
      </c>
      <c r="H622" s="468">
        <f t="shared" ref="H622:O622" si="199">H581+H591</f>
        <v>135267</v>
      </c>
      <c r="I622" s="468">
        <f t="shared" si="199"/>
        <v>144190</v>
      </c>
      <c r="J622" s="468">
        <f t="shared" si="199"/>
        <v>27603</v>
      </c>
      <c r="K622" s="468">
        <f t="shared" si="199"/>
        <v>22190</v>
      </c>
      <c r="L622" s="468">
        <f t="shared" si="199"/>
        <v>9997</v>
      </c>
      <c r="M622" s="468">
        <f t="shared" si="199"/>
        <v>10253</v>
      </c>
      <c r="N622" s="468">
        <f t="shared" si="199"/>
        <v>153741</v>
      </c>
      <c r="O622" s="468">
        <f t="shared" si="199"/>
        <v>147529</v>
      </c>
      <c r="P622" s="601">
        <f t="shared" si="177"/>
        <v>326608</v>
      </c>
      <c r="Q622" s="602">
        <f t="shared" si="178"/>
        <v>10886.933333333332</v>
      </c>
      <c r="R622" s="603">
        <f t="shared" si="179"/>
        <v>324162</v>
      </c>
      <c r="S622" s="604">
        <f t="shared" si="180"/>
        <v>10805.4</v>
      </c>
      <c r="T622" s="468">
        <f>T581+T591</f>
        <v>15216</v>
      </c>
      <c r="U622" s="468">
        <f>U581+U591</f>
        <v>16539</v>
      </c>
      <c r="V622" s="601">
        <f t="shared" si="181"/>
        <v>326608</v>
      </c>
      <c r="W622" s="605">
        <f t="shared" si="182"/>
        <v>324162</v>
      </c>
      <c r="X622" s="468">
        <f t="shared" ref="X622:AE622" si="200">X581+X591</f>
        <v>119465</v>
      </c>
      <c r="Y622" s="468">
        <f t="shared" si="200"/>
        <v>97164</v>
      </c>
      <c r="Z622" s="468">
        <f t="shared" si="200"/>
        <v>136688</v>
      </c>
      <c r="AA622" s="468">
        <f t="shared" si="200"/>
        <v>99119</v>
      </c>
      <c r="AB622" s="468">
        <f t="shared" si="200"/>
        <v>100572</v>
      </c>
      <c r="AC622" s="468">
        <f t="shared" si="200"/>
        <v>102046</v>
      </c>
      <c r="AD622" s="468">
        <f t="shared" si="200"/>
        <v>108237</v>
      </c>
      <c r="AE622" s="468">
        <f t="shared" si="200"/>
        <v>99600</v>
      </c>
      <c r="AF622" s="601">
        <f t="shared" si="183"/>
        <v>464962</v>
      </c>
      <c r="AG622" s="602">
        <f t="shared" si="184"/>
        <v>516.62444444444441</v>
      </c>
      <c r="AH622" s="603">
        <f t="shared" si="185"/>
        <v>397929</v>
      </c>
      <c r="AI622" s="603">
        <f t="shared" si="186"/>
        <v>442.14333333333332</v>
      </c>
      <c r="AJ622" s="298"/>
      <c r="AK622" s="299"/>
      <c r="AL622" s="601">
        <f t="shared" si="187"/>
        <v>0</v>
      </c>
      <c r="AM622" s="604">
        <f t="shared" si="188"/>
        <v>0</v>
      </c>
      <c r="AN622" s="306"/>
      <c r="AO622" s="307"/>
      <c r="AP622" s="298"/>
      <c r="AQ622" s="307"/>
      <c r="AR622" s="298"/>
      <c r="AS622" s="307"/>
      <c r="AT622" s="298"/>
      <c r="AU622" s="307"/>
      <c r="AV622" s="601">
        <f t="shared" si="189"/>
        <v>0</v>
      </c>
      <c r="AW622" s="609">
        <f t="shared" si="190"/>
        <v>0</v>
      </c>
      <c r="AX622" s="603">
        <f t="shared" si="191"/>
        <v>0</v>
      </c>
      <c r="AY622" s="610">
        <f t="shared" si="192"/>
        <v>0</v>
      </c>
      <c r="AZ622" s="611">
        <f t="shared" si="193"/>
        <v>11403.557777777776</v>
      </c>
      <c r="BA622" s="603">
        <f t="shared" si="194"/>
        <v>11247.543333333333</v>
      </c>
    </row>
    <row r="623" spans="1:53">
      <c r="A623" s="369" t="s">
        <v>33</v>
      </c>
      <c r="B623" s="458" t="s">
        <v>647</v>
      </c>
      <c r="C623" s="459"/>
      <c r="D623" s="369"/>
      <c r="E623" s="449" t="s">
        <v>219</v>
      </c>
      <c r="F623" s="296" t="s">
        <v>52</v>
      </c>
      <c r="G623" s="297" t="s">
        <v>52</v>
      </c>
      <c r="H623" s="469">
        <f>H587</f>
        <v>35496</v>
      </c>
      <c r="I623" s="469">
        <f>I587</f>
        <v>36112</v>
      </c>
      <c r="J623" s="469">
        <f t="shared" ref="J623:O623" si="201">J587</f>
        <v>8725</v>
      </c>
      <c r="K623" s="469">
        <f t="shared" si="201"/>
        <v>9727</v>
      </c>
      <c r="L623" s="469">
        <f t="shared" si="201"/>
        <v>7822</v>
      </c>
      <c r="M623" s="469">
        <f t="shared" si="201"/>
        <v>7532</v>
      </c>
      <c r="N623" s="469">
        <f t="shared" si="201"/>
        <v>35705</v>
      </c>
      <c r="O623" s="469">
        <f t="shared" si="201"/>
        <v>33935</v>
      </c>
      <c r="P623" s="601">
        <f t="shared" si="177"/>
        <v>87748</v>
      </c>
      <c r="Q623" s="602">
        <f t="shared" si="178"/>
        <v>2924.9333333333334</v>
      </c>
      <c r="R623" s="603">
        <f t="shared" si="179"/>
        <v>87306</v>
      </c>
      <c r="S623" s="604">
        <f t="shared" si="180"/>
        <v>2910.2</v>
      </c>
      <c r="T623" s="469">
        <f t="shared" ref="T623:U623" si="202">T587</f>
        <v>7171</v>
      </c>
      <c r="U623" s="469">
        <f t="shared" si="202"/>
        <v>8066</v>
      </c>
      <c r="V623" s="601">
        <f t="shared" si="181"/>
        <v>87748</v>
      </c>
      <c r="W623" s="605">
        <f t="shared" si="182"/>
        <v>87306</v>
      </c>
      <c r="X623" s="469">
        <f t="shared" ref="X623:AE623" si="203">X587</f>
        <v>70285</v>
      </c>
      <c r="Y623" s="469">
        <f t="shared" si="203"/>
        <v>53328</v>
      </c>
      <c r="Z623" s="469">
        <f t="shared" si="203"/>
        <v>65267</v>
      </c>
      <c r="AA623" s="469">
        <f t="shared" si="203"/>
        <v>36974</v>
      </c>
      <c r="AB623" s="469">
        <f t="shared" si="203"/>
        <v>63442</v>
      </c>
      <c r="AC623" s="469">
        <f t="shared" si="203"/>
        <v>52758</v>
      </c>
      <c r="AD623" s="469">
        <f t="shared" si="203"/>
        <v>63027</v>
      </c>
      <c r="AE623" s="469">
        <f t="shared" si="203"/>
        <v>48765</v>
      </c>
      <c r="AF623" s="601">
        <f t="shared" si="183"/>
        <v>262021</v>
      </c>
      <c r="AG623" s="602">
        <f t="shared" si="184"/>
        <v>291.13444444444445</v>
      </c>
      <c r="AH623" s="603">
        <f t="shared" si="185"/>
        <v>191825</v>
      </c>
      <c r="AI623" s="603">
        <f t="shared" si="186"/>
        <v>213.13888888888889</v>
      </c>
      <c r="AJ623" s="298"/>
      <c r="AK623" s="299"/>
      <c r="AL623" s="601">
        <f t="shared" si="187"/>
        <v>0</v>
      </c>
      <c r="AM623" s="604">
        <f t="shared" si="188"/>
        <v>0</v>
      </c>
      <c r="AN623" s="306"/>
      <c r="AO623" s="307"/>
      <c r="AP623" s="298"/>
      <c r="AQ623" s="307"/>
      <c r="AR623" s="298"/>
      <c r="AS623" s="307"/>
      <c r="AT623" s="298"/>
      <c r="AU623" s="307"/>
      <c r="AV623" s="601">
        <f t="shared" si="189"/>
        <v>0</v>
      </c>
      <c r="AW623" s="609">
        <f t="shared" si="190"/>
        <v>0</v>
      </c>
      <c r="AX623" s="603">
        <f t="shared" si="191"/>
        <v>0</v>
      </c>
      <c r="AY623" s="610">
        <f t="shared" si="192"/>
        <v>0</v>
      </c>
      <c r="AZ623" s="611">
        <f t="shared" si="193"/>
        <v>3216.0677777777778</v>
      </c>
      <c r="BA623" s="603">
        <f t="shared" si="194"/>
        <v>3123.3388888888885</v>
      </c>
    </row>
    <row r="624" spans="1:53">
      <c r="A624" s="369" t="s">
        <v>33</v>
      </c>
      <c r="B624" s="461" t="s">
        <v>645</v>
      </c>
      <c r="C624" s="462"/>
      <c r="D624" s="369"/>
      <c r="E624" s="449" t="s">
        <v>167</v>
      </c>
      <c r="F624" s="296" t="s">
        <v>52</v>
      </c>
      <c r="G624" s="297" t="s">
        <v>52</v>
      </c>
      <c r="H624" s="470">
        <f t="shared" ref="H624" si="204">H609</f>
        <v>20317</v>
      </c>
      <c r="I624" s="470">
        <f>I609</f>
        <v>24710</v>
      </c>
      <c r="J624" s="470">
        <f t="shared" ref="J624:O624" si="205">J609</f>
        <v>4059</v>
      </c>
      <c r="K624" s="470">
        <f t="shared" si="205"/>
        <v>8495</v>
      </c>
      <c r="L624" s="470">
        <f t="shared" si="205"/>
        <v>3404</v>
      </c>
      <c r="M624" s="470">
        <f t="shared" si="205"/>
        <v>3143</v>
      </c>
      <c r="N624" s="470">
        <f t="shared" si="205"/>
        <v>23154</v>
      </c>
      <c r="O624" s="470">
        <f t="shared" si="205"/>
        <v>22917</v>
      </c>
      <c r="P624" s="601">
        <f t="shared" si="177"/>
        <v>50934</v>
      </c>
      <c r="Q624" s="602">
        <f t="shared" si="178"/>
        <v>1697.8</v>
      </c>
      <c r="R624" s="603">
        <f t="shared" si="179"/>
        <v>59265</v>
      </c>
      <c r="S624" s="604">
        <f t="shared" si="180"/>
        <v>1975.5</v>
      </c>
      <c r="T624" s="470">
        <f t="shared" ref="T624:U624" si="206">T609</f>
        <v>2363</v>
      </c>
      <c r="U624" s="470">
        <f t="shared" si="206"/>
        <v>2050</v>
      </c>
      <c r="V624" s="601">
        <f t="shared" si="181"/>
        <v>50934</v>
      </c>
      <c r="W624" s="605">
        <f t="shared" si="182"/>
        <v>59265</v>
      </c>
      <c r="X624" s="470">
        <f t="shared" ref="X624:AE624" si="207">X609</f>
        <v>82932</v>
      </c>
      <c r="Y624" s="470">
        <f t="shared" si="207"/>
        <v>79181</v>
      </c>
      <c r="Z624" s="470">
        <f t="shared" si="207"/>
        <v>67716</v>
      </c>
      <c r="AA624" s="470">
        <f t="shared" si="207"/>
        <v>68240</v>
      </c>
      <c r="AB624" s="470">
        <f t="shared" si="207"/>
        <v>46918</v>
      </c>
      <c r="AC624" s="470">
        <f t="shared" si="207"/>
        <v>53712</v>
      </c>
      <c r="AD624" s="470">
        <f t="shared" si="207"/>
        <v>97408</v>
      </c>
      <c r="AE624" s="470">
        <f t="shared" si="207"/>
        <v>97248</v>
      </c>
      <c r="AF624" s="601">
        <f t="shared" si="183"/>
        <v>294974</v>
      </c>
      <c r="AG624" s="602">
        <f t="shared" si="184"/>
        <v>327.74888888888887</v>
      </c>
      <c r="AH624" s="603">
        <f t="shared" si="185"/>
        <v>298381</v>
      </c>
      <c r="AI624" s="603">
        <f t="shared" si="186"/>
        <v>331.53444444444443</v>
      </c>
      <c r="AJ624" s="298"/>
      <c r="AK624" s="299"/>
      <c r="AL624" s="601">
        <f t="shared" si="187"/>
        <v>0</v>
      </c>
      <c r="AM624" s="604">
        <f t="shared" si="188"/>
        <v>0</v>
      </c>
      <c r="AN624" s="306"/>
      <c r="AO624" s="307"/>
      <c r="AP624" s="298"/>
      <c r="AQ624" s="307"/>
      <c r="AR624" s="298"/>
      <c r="AS624" s="307"/>
      <c r="AT624" s="298"/>
      <c r="AU624" s="307"/>
      <c r="AV624" s="601">
        <f t="shared" si="189"/>
        <v>0</v>
      </c>
      <c r="AW624" s="609">
        <f t="shared" si="190"/>
        <v>0</v>
      </c>
      <c r="AX624" s="603">
        <f t="shared" si="191"/>
        <v>0</v>
      </c>
      <c r="AY624" s="610">
        <f t="shared" si="192"/>
        <v>0</v>
      </c>
      <c r="AZ624" s="611">
        <f t="shared" si="193"/>
        <v>2025.5488888888888</v>
      </c>
      <c r="BA624" s="603">
        <f t="shared" si="194"/>
        <v>2307.0344444444445</v>
      </c>
    </row>
    <row r="625" spans="1:53">
      <c r="A625" s="369" t="s">
        <v>33</v>
      </c>
      <c r="B625" s="463" t="s">
        <v>647</v>
      </c>
      <c r="C625" s="464"/>
      <c r="D625" s="369"/>
      <c r="E625" s="449" t="s">
        <v>167</v>
      </c>
      <c r="F625" s="296" t="s">
        <v>52</v>
      </c>
      <c r="G625" s="297" t="s">
        <v>52</v>
      </c>
      <c r="H625" s="471">
        <f t="shared" ref="H625" si="208">H613</f>
        <v>1001</v>
      </c>
      <c r="I625" s="471">
        <f>I613</f>
        <v>1056</v>
      </c>
      <c r="J625" s="471">
        <f t="shared" ref="J625:O625" si="209">J613</f>
        <v>0</v>
      </c>
      <c r="K625" s="471">
        <f t="shared" si="209"/>
        <v>27</v>
      </c>
      <c r="L625" s="471">
        <f t="shared" si="209"/>
        <v>0</v>
      </c>
      <c r="M625" s="471">
        <f t="shared" si="209"/>
        <v>21</v>
      </c>
      <c r="N625" s="471">
        <f t="shared" si="209"/>
        <v>1066</v>
      </c>
      <c r="O625" s="471">
        <f t="shared" si="209"/>
        <v>1615</v>
      </c>
      <c r="P625" s="601">
        <f t="shared" si="177"/>
        <v>2067</v>
      </c>
      <c r="Q625" s="602">
        <f t="shared" si="178"/>
        <v>68.900000000000006</v>
      </c>
      <c r="R625" s="603">
        <f t="shared" si="179"/>
        <v>2719</v>
      </c>
      <c r="S625" s="604">
        <f t="shared" si="180"/>
        <v>90.63333333333334</v>
      </c>
      <c r="T625" s="471">
        <f t="shared" ref="T625:U625" si="210">T613</f>
        <v>0</v>
      </c>
      <c r="U625" s="471">
        <f t="shared" si="210"/>
        <v>66</v>
      </c>
      <c r="V625" s="601">
        <f t="shared" si="181"/>
        <v>2067</v>
      </c>
      <c r="W625" s="605">
        <f t="shared" si="182"/>
        <v>2719</v>
      </c>
      <c r="X625" s="471">
        <f t="shared" ref="X625:AE625" si="211">X613</f>
        <v>0</v>
      </c>
      <c r="Y625" s="471">
        <f t="shared" si="211"/>
        <v>0</v>
      </c>
      <c r="Z625" s="471">
        <f t="shared" si="211"/>
        <v>0</v>
      </c>
      <c r="AA625" s="471">
        <f t="shared" si="211"/>
        <v>0</v>
      </c>
      <c r="AB625" s="471">
        <f t="shared" si="211"/>
        <v>0</v>
      </c>
      <c r="AC625" s="471">
        <f t="shared" si="211"/>
        <v>0</v>
      </c>
      <c r="AD625" s="471">
        <f t="shared" si="211"/>
        <v>0</v>
      </c>
      <c r="AE625" s="471">
        <f t="shared" si="211"/>
        <v>0</v>
      </c>
      <c r="AF625" s="601">
        <f t="shared" si="183"/>
        <v>0</v>
      </c>
      <c r="AG625" s="602">
        <f t="shared" si="184"/>
        <v>0</v>
      </c>
      <c r="AH625" s="603">
        <f t="shared" si="185"/>
        <v>0</v>
      </c>
      <c r="AI625" s="603">
        <f t="shared" si="186"/>
        <v>0</v>
      </c>
      <c r="AJ625" s="298"/>
      <c r="AK625" s="299"/>
      <c r="AL625" s="601">
        <f t="shared" si="187"/>
        <v>0</v>
      </c>
      <c r="AM625" s="604">
        <f t="shared" si="188"/>
        <v>0</v>
      </c>
      <c r="AN625" s="306"/>
      <c r="AO625" s="307"/>
      <c r="AP625" s="298"/>
      <c r="AQ625" s="307"/>
      <c r="AR625" s="298"/>
      <c r="AS625" s="307"/>
      <c r="AT625" s="298"/>
      <c r="AU625" s="307"/>
      <c r="AV625" s="601">
        <f t="shared" si="189"/>
        <v>0</v>
      </c>
      <c r="AW625" s="609">
        <f t="shared" si="190"/>
        <v>0</v>
      </c>
      <c r="AX625" s="603">
        <f t="shared" si="191"/>
        <v>0</v>
      </c>
      <c r="AY625" s="610">
        <f t="shared" si="192"/>
        <v>0</v>
      </c>
      <c r="AZ625" s="611">
        <f t="shared" si="193"/>
        <v>68.900000000000006</v>
      </c>
      <c r="BA625" s="603">
        <f t="shared" si="194"/>
        <v>90.63333333333334</v>
      </c>
    </row>
    <row r="626" spans="1:53">
      <c r="A626" s="429" t="s">
        <v>33</v>
      </c>
      <c r="B626" s="454" t="s">
        <v>645</v>
      </c>
      <c r="C626" s="455"/>
      <c r="D626" s="369"/>
      <c r="E626" s="762">
        <v>11</v>
      </c>
      <c r="F626" s="296" t="s">
        <v>52</v>
      </c>
      <c r="G626" s="297" t="s">
        <v>52</v>
      </c>
      <c r="H626" s="466">
        <f>H620+H624</f>
        <v>470339</v>
      </c>
      <c r="I626" s="466">
        <f t="shared" ref="I626:O626" si="212">I620+I624</f>
        <v>479137</v>
      </c>
      <c r="J626" s="466">
        <f t="shared" si="212"/>
        <v>135228</v>
      </c>
      <c r="K626" s="466">
        <f t="shared" si="212"/>
        <v>137973</v>
      </c>
      <c r="L626" s="466">
        <f t="shared" si="212"/>
        <v>60346</v>
      </c>
      <c r="M626" s="466">
        <f t="shared" si="212"/>
        <v>48900</v>
      </c>
      <c r="N626" s="466">
        <f t="shared" si="212"/>
        <v>453959</v>
      </c>
      <c r="O626" s="466">
        <f t="shared" si="212"/>
        <v>461195</v>
      </c>
      <c r="P626" s="601">
        <f t="shared" si="177"/>
        <v>1119872</v>
      </c>
      <c r="Q626" s="602">
        <f t="shared" si="178"/>
        <v>37329.066666666666</v>
      </c>
      <c r="R626" s="603">
        <f t="shared" si="179"/>
        <v>1127205</v>
      </c>
      <c r="S626" s="604">
        <f t="shared" si="180"/>
        <v>37573.5</v>
      </c>
      <c r="T626" s="466">
        <f t="shared" ref="T626:U626" si="213">T620+T624</f>
        <v>79390</v>
      </c>
      <c r="U626" s="466">
        <f t="shared" si="213"/>
        <v>88153</v>
      </c>
      <c r="V626" s="601">
        <f t="shared" si="181"/>
        <v>1119872</v>
      </c>
      <c r="W626" s="605">
        <f t="shared" si="182"/>
        <v>1127205</v>
      </c>
      <c r="X626" s="466">
        <f t="shared" ref="X626:AE626" si="214">X620+X624</f>
        <v>496850</v>
      </c>
      <c r="Y626" s="466">
        <f t="shared" si="214"/>
        <v>415762</v>
      </c>
      <c r="Z626" s="466">
        <f t="shared" si="214"/>
        <v>436565</v>
      </c>
      <c r="AA626" s="466">
        <f t="shared" si="214"/>
        <v>375817</v>
      </c>
      <c r="AB626" s="466">
        <f t="shared" si="214"/>
        <v>384063</v>
      </c>
      <c r="AC626" s="466">
        <f t="shared" si="214"/>
        <v>330320</v>
      </c>
      <c r="AD626" s="466">
        <f t="shared" si="214"/>
        <v>561714</v>
      </c>
      <c r="AE626" s="466">
        <f t="shared" si="214"/>
        <v>549655</v>
      </c>
      <c r="AF626" s="601">
        <f t="shared" si="183"/>
        <v>1879192</v>
      </c>
      <c r="AG626" s="602">
        <f t="shared" si="184"/>
        <v>2087.991111111111</v>
      </c>
      <c r="AH626" s="603">
        <f t="shared" si="185"/>
        <v>1671554</v>
      </c>
      <c r="AI626" s="603">
        <f t="shared" si="186"/>
        <v>1857.2822222222221</v>
      </c>
      <c r="AJ626" s="298"/>
      <c r="AK626" s="299"/>
      <c r="AL626" s="601">
        <f t="shared" si="187"/>
        <v>0</v>
      </c>
      <c r="AM626" s="604">
        <f t="shared" si="188"/>
        <v>0</v>
      </c>
      <c r="AN626" s="306"/>
      <c r="AO626" s="307"/>
      <c r="AP626" s="298"/>
      <c r="AQ626" s="440"/>
      <c r="AR626" s="298"/>
      <c r="AS626" s="440"/>
      <c r="AT626" s="298"/>
      <c r="AU626" s="440"/>
      <c r="AV626" s="601">
        <f t="shared" si="189"/>
        <v>0</v>
      </c>
      <c r="AW626" s="609">
        <f t="shared" si="190"/>
        <v>0</v>
      </c>
      <c r="AX626" s="603">
        <f t="shared" si="191"/>
        <v>0</v>
      </c>
      <c r="AY626" s="610">
        <f t="shared" si="192"/>
        <v>0</v>
      </c>
      <c r="AZ626" s="611">
        <f t="shared" si="193"/>
        <v>39417.05777777778</v>
      </c>
      <c r="BA626" s="603">
        <f t="shared" si="194"/>
        <v>39430.782222222224</v>
      </c>
    </row>
    <row r="627" spans="1:53">
      <c r="A627" s="429" t="s">
        <v>33</v>
      </c>
      <c r="B627" s="450" t="s">
        <v>646</v>
      </c>
      <c r="C627" s="451"/>
      <c r="D627" s="369"/>
      <c r="E627" s="762">
        <v>11</v>
      </c>
      <c r="F627" s="296" t="s">
        <v>52</v>
      </c>
      <c r="G627" s="297" t="s">
        <v>52</v>
      </c>
      <c r="H627" s="473">
        <f t="shared" ref="H627" si="215">H621+H622</f>
        <v>532640</v>
      </c>
      <c r="I627" s="473">
        <f>I621+I622</f>
        <v>563364</v>
      </c>
      <c r="J627" s="473">
        <f t="shared" ref="J627:O627" si="216">J621+J622</f>
        <v>160281</v>
      </c>
      <c r="K627" s="473">
        <f t="shared" si="216"/>
        <v>160048</v>
      </c>
      <c r="L627" s="473">
        <f t="shared" si="216"/>
        <v>63979</v>
      </c>
      <c r="M627" s="473">
        <f t="shared" si="216"/>
        <v>54426</v>
      </c>
      <c r="N627" s="473">
        <f t="shared" si="216"/>
        <v>523320</v>
      </c>
      <c r="O627" s="473">
        <f t="shared" si="216"/>
        <v>544426</v>
      </c>
      <c r="P627" s="601">
        <f t="shared" si="177"/>
        <v>1280220</v>
      </c>
      <c r="Q627" s="602">
        <f t="shared" si="178"/>
        <v>42674</v>
      </c>
      <c r="R627" s="603">
        <f t="shared" si="179"/>
        <v>1322264</v>
      </c>
      <c r="S627" s="604">
        <f t="shared" si="180"/>
        <v>44075.466666666667</v>
      </c>
      <c r="T627" s="473">
        <f t="shared" ref="T627:U627" si="217">T621+T622</f>
        <v>74801</v>
      </c>
      <c r="U627" s="473">
        <f t="shared" si="217"/>
        <v>93521</v>
      </c>
      <c r="V627" s="601">
        <f t="shared" si="181"/>
        <v>1280220</v>
      </c>
      <c r="W627" s="605">
        <f t="shared" si="182"/>
        <v>1322264</v>
      </c>
      <c r="X627" s="473">
        <f t="shared" ref="X627:AE627" si="218">X621+X622</f>
        <v>821552</v>
      </c>
      <c r="Y627" s="473">
        <f t="shared" si="218"/>
        <v>506604</v>
      </c>
      <c r="Z627" s="473">
        <f t="shared" si="218"/>
        <v>797958</v>
      </c>
      <c r="AA627" s="473">
        <f t="shared" si="218"/>
        <v>541091</v>
      </c>
      <c r="AB627" s="473">
        <f t="shared" si="218"/>
        <v>885396</v>
      </c>
      <c r="AC627" s="473">
        <f t="shared" si="218"/>
        <v>482371</v>
      </c>
      <c r="AD627" s="473">
        <f t="shared" si="218"/>
        <v>912113</v>
      </c>
      <c r="AE627" s="473">
        <f t="shared" si="218"/>
        <v>589960</v>
      </c>
      <c r="AF627" s="601">
        <f t="shared" si="183"/>
        <v>3417019</v>
      </c>
      <c r="AG627" s="602">
        <f t="shared" si="184"/>
        <v>3796.6877777777777</v>
      </c>
      <c r="AH627" s="603">
        <f t="shared" si="185"/>
        <v>2120026</v>
      </c>
      <c r="AI627" s="603">
        <f t="shared" si="186"/>
        <v>2355.5844444444447</v>
      </c>
      <c r="AJ627" s="298"/>
      <c r="AK627" s="299"/>
      <c r="AL627" s="601">
        <f t="shared" si="187"/>
        <v>0</v>
      </c>
      <c r="AM627" s="604">
        <f t="shared" si="188"/>
        <v>0</v>
      </c>
      <c r="AN627" s="306"/>
      <c r="AO627" s="307"/>
      <c r="AP627" s="298"/>
      <c r="AQ627" s="440"/>
      <c r="AR627" s="298"/>
      <c r="AS627" s="440"/>
      <c r="AT627" s="298"/>
      <c r="AU627" s="440"/>
      <c r="AV627" s="601">
        <f t="shared" si="189"/>
        <v>0</v>
      </c>
      <c r="AW627" s="609">
        <f t="shared" si="190"/>
        <v>0</v>
      </c>
      <c r="AX627" s="603">
        <f t="shared" si="191"/>
        <v>0</v>
      </c>
      <c r="AY627" s="610">
        <f t="shared" si="192"/>
        <v>0</v>
      </c>
      <c r="AZ627" s="611">
        <f t="shared" si="193"/>
        <v>46470.687777777777</v>
      </c>
      <c r="BA627" s="603">
        <f t="shared" si="194"/>
        <v>46431.051111111112</v>
      </c>
    </row>
    <row r="628" spans="1:53">
      <c r="A628" s="429" t="s">
        <v>33</v>
      </c>
      <c r="B628" s="458" t="s">
        <v>647</v>
      </c>
      <c r="C628" s="459"/>
      <c r="D628" s="369"/>
      <c r="E628" s="762">
        <v>11</v>
      </c>
      <c r="F628" s="296" t="s">
        <v>52</v>
      </c>
      <c r="G628" s="297" t="s">
        <v>52</v>
      </c>
      <c r="H628" s="474">
        <f t="shared" ref="H628" si="219">H623+H625</f>
        <v>36497</v>
      </c>
      <c r="I628" s="474">
        <f>I623+I625</f>
        <v>37168</v>
      </c>
      <c r="J628" s="474">
        <f t="shared" ref="J628:O628" si="220">J623+J625</f>
        <v>8725</v>
      </c>
      <c r="K628" s="474">
        <f t="shared" si="220"/>
        <v>9754</v>
      </c>
      <c r="L628" s="474">
        <f t="shared" si="220"/>
        <v>7822</v>
      </c>
      <c r="M628" s="474">
        <f t="shared" si="220"/>
        <v>7553</v>
      </c>
      <c r="N628" s="474">
        <f t="shared" si="220"/>
        <v>36771</v>
      </c>
      <c r="O628" s="474">
        <f t="shared" si="220"/>
        <v>35550</v>
      </c>
      <c r="P628" s="601">
        <f t="shared" si="177"/>
        <v>89815</v>
      </c>
      <c r="Q628" s="602">
        <f t="shared" si="178"/>
        <v>2993.8333333333335</v>
      </c>
      <c r="R628" s="603">
        <f t="shared" si="179"/>
        <v>90025</v>
      </c>
      <c r="S628" s="604">
        <f t="shared" si="180"/>
        <v>3000.8333333333335</v>
      </c>
      <c r="T628" s="474">
        <f t="shared" ref="T628:U628" si="221">T623+T625</f>
        <v>7171</v>
      </c>
      <c r="U628" s="474">
        <f t="shared" si="221"/>
        <v>8132</v>
      </c>
      <c r="V628" s="601">
        <f t="shared" si="181"/>
        <v>89815</v>
      </c>
      <c r="W628" s="605">
        <f t="shared" si="182"/>
        <v>90025</v>
      </c>
      <c r="X628" s="474">
        <f t="shared" ref="X628:AE628" si="222">X623+X625</f>
        <v>70285</v>
      </c>
      <c r="Y628" s="474">
        <f t="shared" si="222"/>
        <v>53328</v>
      </c>
      <c r="Z628" s="474">
        <f t="shared" si="222"/>
        <v>65267</v>
      </c>
      <c r="AA628" s="474">
        <f t="shared" si="222"/>
        <v>36974</v>
      </c>
      <c r="AB628" s="474">
        <f t="shared" si="222"/>
        <v>63442</v>
      </c>
      <c r="AC628" s="474">
        <f t="shared" si="222"/>
        <v>52758</v>
      </c>
      <c r="AD628" s="474">
        <f t="shared" si="222"/>
        <v>63027</v>
      </c>
      <c r="AE628" s="474">
        <f t="shared" si="222"/>
        <v>48765</v>
      </c>
      <c r="AF628" s="601">
        <f t="shared" si="183"/>
        <v>262021</v>
      </c>
      <c r="AG628" s="602">
        <f t="shared" si="184"/>
        <v>291.13444444444445</v>
      </c>
      <c r="AH628" s="603">
        <f t="shared" si="185"/>
        <v>191825</v>
      </c>
      <c r="AI628" s="603">
        <f t="shared" si="186"/>
        <v>213.13888888888889</v>
      </c>
      <c r="AJ628" s="298"/>
      <c r="AK628" s="299"/>
      <c r="AL628" s="601">
        <f t="shared" si="187"/>
        <v>0</v>
      </c>
      <c r="AM628" s="604">
        <f t="shared" si="188"/>
        <v>0</v>
      </c>
      <c r="AN628" s="306"/>
      <c r="AO628" s="307"/>
      <c r="AP628" s="298"/>
      <c r="AQ628" s="440"/>
      <c r="AR628" s="298"/>
      <c r="AS628" s="440"/>
      <c r="AT628" s="298"/>
      <c r="AU628" s="440"/>
      <c r="AV628" s="601">
        <f t="shared" si="189"/>
        <v>0</v>
      </c>
      <c r="AW628" s="609">
        <f t="shared" si="190"/>
        <v>0</v>
      </c>
      <c r="AX628" s="603">
        <f t="shared" si="191"/>
        <v>0</v>
      </c>
      <c r="AY628" s="610">
        <f t="shared" si="192"/>
        <v>0</v>
      </c>
      <c r="AZ628" s="611">
        <f t="shared" si="193"/>
        <v>3284.9677777777779</v>
      </c>
      <c r="BA628" s="603">
        <f t="shared" si="194"/>
        <v>3213.9722222222222</v>
      </c>
    </row>
    <row r="629" spans="1:53">
      <c r="A629" s="522" t="s">
        <v>166</v>
      </c>
      <c r="B629" s="523" t="s">
        <v>845</v>
      </c>
      <c r="C629" s="528"/>
      <c r="D629" s="522">
        <v>232186</v>
      </c>
      <c r="E629" s="522">
        <v>1</v>
      </c>
      <c r="F629" s="515" t="s">
        <v>52</v>
      </c>
      <c r="G629" s="516" t="s">
        <v>52</v>
      </c>
      <c r="H629" s="517"/>
      <c r="I629" s="518"/>
      <c r="J629" s="358">
        <v>242007</v>
      </c>
      <c r="K629" s="518">
        <v>251312</v>
      </c>
      <c r="L629" s="517">
        <v>44507</v>
      </c>
      <c r="M629" s="518">
        <v>49339</v>
      </c>
      <c r="N629" s="358">
        <v>260192.5</v>
      </c>
      <c r="O629" s="518">
        <v>270328.5</v>
      </c>
      <c r="P629" s="601">
        <f t="shared" si="177"/>
        <v>546706.5</v>
      </c>
      <c r="Q629" s="602">
        <f t="shared" si="178"/>
        <v>18223.55</v>
      </c>
      <c r="R629" s="603">
        <f t="shared" si="179"/>
        <v>570979.5</v>
      </c>
      <c r="S629" s="604">
        <f t="shared" si="180"/>
        <v>19032.650000000001</v>
      </c>
      <c r="T629" s="517">
        <v>1881</v>
      </c>
      <c r="U629" s="518">
        <v>24514</v>
      </c>
      <c r="V629" s="601">
        <f t="shared" si="181"/>
        <v>546706.5</v>
      </c>
      <c r="W629" s="605">
        <f t="shared" si="182"/>
        <v>570979.5</v>
      </c>
      <c r="X629" s="519"/>
      <c r="Y629" s="518"/>
      <c r="Z629" s="517"/>
      <c r="AA629" s="518"/>
      <c r="AB629" s="517"/>
      <c r="AC629" s="518"/>
      <c r="AD629" s="517"/>
      <c r="AE629" s="518"/>
      <c r="AF629" s="601">
        <f t="shared" si="183"/>
        <v>0</v>
      </c>
      <c r="AG629" s="602">
        <f t="shared" si="184"/>
        <v>0</v>
      </c>
      <c r="AH629" s="603">
        <f t="shared" si="185"/>
        <v>0</v>
      </c>
      <c r="AI629" s="603">
        <f t="shared" si="186"/>
        <v>0</v>
      </c>
      <c r="AJ629" s="517"/>
      <c r="AK629" s="518"/>
      <c r="AL629" s="601">
        <f t="shared" si="187"/>
        <v>0</v>
      </c>
      <c r="AM629" s="604">
        <f t="shared" si="188"/>
        <v>0</v>
      </c>
      <c r="AN629" s="520"/>
      <c r="AO629" s="521"/>
      <c r="AP629" s="358">
        <v>73910.100000000006</v>
      </c>
      <c r="AQ629" s="521">
        <v>77490</v>
      </c>
      <c r="AR629" s="517">
        <v>19404.8</v>
      </c>
      <c r="AS629" s="521">
        <v>20222.5</v>
      </c>
      <c r="AT629" s="517">
        <v>76432</v>
      </c>
      <c r="AU629" s="521">
        <v>79520</v>
      </c>
      <c r="AV629" s="601">
        <f t="shared" si="189"/>
        <v>169746.90000000002</v>
      </c>
      <c r="AW629" s="609">
        <f t="shared" si="190"/>
        <v>7072.7875000000013</v>
      </c>
      <c r="AX629" s="603">
        <f t="shared" si="191"/>
        <v>177232.5</v>
      </c>
      <c r="AY629" s="610">
        <f t="shared" si="192"/>
        <v>7384.6875</v>
      </c>
      <c r="AZ629" s="611">
        <f t="shared" si="193"/>
        <v>25296.337500000001</v>
      </c>
      <c r="BA629" s="603">
        <f t="shared" si="194"/>
        <v>26417.337500000001</v>
      </c>
    </row>
    <row r="630" spans="1:53">
      <c r="A630" s="522" t="s">
        <v>166</v>
      </c>
      <c r="B630" s="523" t="s">
        <v>846</v>
      </c>
      <c r="C630" s="527"/>
      <c r="D630" s="522">
        <v>232982</v>
      </c>
      <c r="E630" s="522">
        <v>1</v>
      </c>
      <c r="F630" s="515" t="s">
        <v>52</v>
      </c>
      <c r="G630" s="516" t="s">
        <v>52</v>
      </c>
      <c r="H630" s="517"/>
      <c r="I630" s="518"/>
      <c r="J630" s="358">
        <v>206399</v>
      </c>
      <c r="K630" s="518">
        <v>215941</v>
      </c>
      <c r="L630" s="517">
        <v>49828</v>
      </c>
      <c r="M630" s="518">
        <v>52395</v>
      </c>
      <c r="N630" s="358">
        <v>228798</v>
      </c>
      <c r="O630" s="518">
        <v>233487</v>
      </c>
      <c r="P630" s="601">
        <f t="shared" si="177"/>
        <v>485025</v>
      </c>
      <c r="Q630" s="602">
        <f t="shared" si="178"/>
        <v>16167.5</v>
      </c>
      <c r="R630" s="603">
        <f t="shared" si="179"/>
        <v>501823</v>
      </c>
      <c r="S630" s="604">
        <f t="shared" si="180"/>
        <v>16727.433333333334</v>
      </c>
      <c r="T630" s="517">
        <v>45</v>
      </c>
      <c r="U630" s="518">
        <v>0</v>
      </c>
      <c r="V630" s="601">
        <f t="shared" si="181"/>
        <v>485025</v>
      </c>
      <c r="W630" s="605">
        <f t="shared" si="182"/>
        <v>501823</v>
      </c>
      <c r="X630" s="519"/>
      <c r="Y630" s="518"/>
      <c r="Z630" s="517"/>
      <c r="AA630" s="518"/>
      <c r="AB630" s="517"/>
      <c r="AC630" s="518"/>
      <c r="AD630" s="517"/>
      <c r="AE630" s="518"/>
      <c r="AF630" s="601">
        <f t="shared" si="183"/>
        <v>0</v>
      </c>
      <c r="AG630" s="602">
        <f t="shared" si="184"/>
        <v>0</v>
      </c>
      <c r="AH630" s="603">
        <f t="shared" si="185"/>
        <v>0</v>
      </c>
      <c r="AI630" s="603">
        <f t="shared" si="186"/>
        <v>0</v>
      </c>
      <c r="AJ630" s="517"/>
      <c r="AK630" s="518"/>
      <c r="AL630" s="601">
        <f t="shared" si="187"/>
        <v>0</v>
      </c>
      <c r="AM630" s="604">
        <f t="shared" si="188"/>
        <v>0</v>
      </c>
      <c r="AN630" s="520"/>
      <c r="AO630" s="521"/>
      <c r="AP630" s="358">
        <v>31548</v>
      </c>
      <c r="AQ630" s="521">
        <v>30307</v>
      </c>
      <c r="AR630" s="517">
        <v>15740</v>
      </c>
      <c r="AS630" s="521">
        <v>14718</v>
      </c>
      <c r="AT630" s="517">
        <v>34274</v>
      </c>
      <c r="AU630" s="521">
        <v>31094</v>
      </c>
      <c r="AV630" s="601">
        <f t="shared" si="189"/>
        <v>81562</v>
      </c>
      <c r="AW630" s="609">
        <f t="shared" si="190"/>
        <v>3398.4166666666665</v>
      </c>
      <c r="AX630" s="603">
        <f t="shared" si="191"/>
        <v>76119</v>
      </c>
      <c r="AY630" s="610">
        <f t="shared" si="192"/>
        <v>3171.625</v>
      </c>
      <c r="AZ630" s="611">
        <f t="shared" si="193"/>
        <v>19565.916666666668</v>
      </c>
      <c r="BA630" s="603">
        <f t="shared" si="194"/>
        <v>19899.058333333334</v>
      </c>
    </row>
    <row r="631" spans="1:53">
      <c r="A631" s="522" t="s">
        <v>166</v>
      </c>
      <c r="B631" s="524" t="s">
        <v>847</v>
      </c>
      <c r="C631" s="527"/>
      <c r="D631" s="522">
        <v>234076</v>
      </c>
      <c r="E631" s="522">
        <v>1</v>
      </c>
      <c r="F631" s="515" t="s">
        <v>52</v>
      </c>
      <c r="G631" s="516" t="s">
        <v>52</v>
      </c>
      <c r="H631" s="517"/>
      <c r="I631" s="518"/>
      <c r="J631" s="358">
        <v>214562</v>
      </c>
      <c r="K631" s="518">
        <v>216264</v>
      </c>
      <c r="L631" s="517">
        <v>29113</v>
      </c>
      <c r="M631" s="518">
        <v>30124</v>
      </c>
      <c r="N631" s="358">
        <v>219298</v>
      </c>
      <c r="O631" s="518">
        <v>221447.5</v>
      </c>
      <c r="P631" s="601">
        <f t="shared" si="177"/>
        <v>462973</v>
      </c>
      <c r="Q631" s="602">
        <f t="shared" si="178"/>
        <v>15432.433333333332</v>
      </c>
      <c r="R631" s="603">
        <f t="shared" si="179"/>
        <v>467835.5</v>
      </c>
      <c r="S631" s="604">
        <f t="shared" si="180"/>
        <v>15594.516666666666</v>
      </c>
      <c r="T631" s="517">
        <v>0</v>
      </c>
      <c r="U631" s="518">
        <v>0</v>
      </c>
      <c r="V631" s="601">
        <f t="shared" si="181"/>
        <v>462973</v>
      </c>
      <c r="W631" s="605">
        <f t="shared" si="182"/>
        <v>467835.5</v>
      </c>
      <c r="X631" s="519"/>
      <c r="Y631" s="518"/>
      <c r="Z631" s="517"/>
      <c r="AA631" s="518"/>
      <c r="AB631" s="517"/>
      <c r="AC631" s="518"/>
      <c r="AD631" s="517"/>
      <c r="AE631" s="518"/>
      <c r="AF631" s="601">
        <f t="shared" si="183"/>
        <v>0</v>
      </c>
      <c r="AG631" s="602">
        <f t="shared" si="184"/>
        <v>0</v>
      </c>
      <c r="AH631" s="603">
        <f t="shared" si="185"/>
        <v>0</v>
      </c>
      <c r="AI631" s="603">
        <f t="shared" si="186"/>
        <v>0</v>
      </c>
      <c r="AJ631" s="517"/>
      <c r="AK631" s="518"/>
      <c r="AL631" s="601">
        <f t="shared" si="187"/>
        <v>0</v>
      </c>
      <c r="AM631" s="604">
        <f t="shared" si="188"/>
        <v>0</v>
      </c>
      <c r="AN631" s="520"/>
      <c r="AO631" s="521"/>
      <c r="AP631" s="358">
        <v>91945.399999999907</v>
      </c>
      <c r="AQ631" s="521">
        <v>93016.5</v>
      </c>
      <c r="AR631" s="517">
        <v>19315.5</v>
      </c>
      <c r="AS631" s="521">
        <v>19242.5</v>
      </c>
      <c r="AT631" s="517">
        <v>85939</v>
      </c>
      <c r="AU631" s="521">
        <v>90860</v>
      </c>
      <c r="AV631" s="601">
        <f t="shared" si="189"/>
        <v>197199.89999999991</v>
      </c>
      <c r="AW631" s="609">
        <f t="shared" si="190"/>
        <v>8216.6624999999967</v>
      </c>
      <c r="AX631" s="603">
        <f t="shared" si="191"/>
        <v>203119</v>
      </c>
      <c r="AY631" s="610">
        <f t="shared" si="192"/>
        <v>8463.2916666666661</v>
      </c>
      <c r="AZ631" s="611">
        <f t="shared" si="193"/>
        <v>23649.095833333329</v>
      </c>
      <c r="BA631" s="603">
        <f t="shared" si="194"/>
        <v>24057.808333333334</v>
      </c>
    </row>
    <row r="632" spans="1:53">
      <c r="A632" s="522" t="s">
        <v>166</v>
      </c>
      <c r="B632" s="524" t="s">
        <v>848</v>
      </c>
      <c r="C632" s="527"/>
      <c r="D632" s="522">
        <v>233921</v>
      </c>
      <c r="E632" s="522">
        <v>1</v>
      </c>
      <c r="F632" s="515" t="s">
        <v>52</v>
      </c>
      <c r="G632" s="516" t="s">
        <v>52</v>
      </c>
      <c r="H632" s="517"/>
      <c r="I632" s="518"/>
      <c r="J632" s="358">
        <v>342989</v>
      </c>
      <c r="K632" s="518">
        <v>345606</v>
      </c>
      <c r="L632" s="517">
        <v>36566</v>
      </c>
      <c r="M632" s="518">
        <v>37992</v>
      </c>
      <c r="N632" s="358">
        <v>365425</v>
      </c>
      <c r="O632" s="518">
        <v>364620</v>
      </c>
      <c r="P632" s="601">
        <f t="shared" si="177"/>
        <v>744980</v>
      </c>
      <c r="Q632" s="602">
        <f t="shared" si="178"/>
        <v>24832.666666666668</v>
      </c>
      <c r="R632" s="603">
        <f t="shared" si="179"/>
        <v>748218</v>
      </c>
      <c r="S632" s="604">
        <f t="shared" si="180"/>
        <v>24940.6</v>
      </c>
      <c r="T632" s="517">
        <v>0</v>
      </c>
      <c r="U632" s="518">
        <v>0</v>
      </c>
      <c r="V632" s="601">
        <f t="shared" si="181"/>
        <v>744980</v>
      </c>
      <c r="W632" s="605">
        <f t="shared" si="182"/>
        <v>748218</v>
      </c>
      <c r="X632" s="519"/>
      <c r="Y632" s="518"/>
      <c r="Z632" s="517"/>
      <c r="AA632" s="518"/>
      <c r="AB632" s="517"/>
      <c r="AC632" s="518"/>
      <c r="AD632" s="517"/>
      <c r="AE632" s="518"/>
      <c r="AF632" s="601">
        <f t="shared" si="183"/>
        <v>0</v>
      </c>
      <c r="AG632" s="602">
        <f t="shared" si="184"/>
        <v>0</v>
      </c>
      <c r="AH632" s="603">
        <f t="shared" si="185"/>
        <v>0</v>
      </c>
      <c r="AI632" s="603">
        <f t="shared" si="186"/>
        <v>0</v>
      </c>
      <c r="AJ632" s="517"/>
      <c r="AK632" s="518"/>
      <c r="AL632" s="601">
        <f t="shared" si="187"/>
        <v>0</v>
      </c>
      <c r="AM632" s="604">
        <f t="shared" si="188"/>
        <v>0</v>
      </c>
      <c r="AN632" s="520"/>
      <c r="AO632" s="521"/>
      <c r="AP632" s="358">
        <v>65851</v>
      </c>
      <c r="AQ632" s="521">
        <v>67579</v>
      </c>
      <c r="AR632" s="517">
        <v>7969</v>
      </c>
      <c r="AS632" s="521">
        <v>8388</v>
      </c>
      <c r="AT632" s="517">
        <v>70812</v>
      </c>
      <c r="AU632" s="521">
        <v>67981</v>
      </c>
      <c r="AV632" s="601">
        <f t="shared" si="189"/>
        <v>144632</v>
      </c>
      <c r="AW632" s="609">
        <f t="shared" si="190"/>
        <v>6026.333333333333</v>
      </c>
      <c r="AX632" s="603">
        <f t="shared" si="191"/>
        <v>143948</v>
      </c>
      <c r="AY632" s="610">
        <f t="shared" si="192"/>
        <v>5997.833333333333</v>
      </c>
      <c r="AZ632" s="611">
        <f t="shared" si="193"/>
        <v>30859</v>
      </c>
      <c r="BA632" s="603">
        <f t="shared" si="194"/>
        <v>30938.433333333331</v>
      </c>
    </row>
    <row r="633" spans="1:53">
      <c r="A633" s="522" t="s">
        <v>166</v>
      </c>
      <c r="B633" s="524" t="s">
        <v>849</v>
      </c>
      <c r="C633" s="527"/>
      <c r="D633" s="522">
        <v>231624</v>
      </c>
      <c r="E633" s="522">
        <v>2</v>
      </c>
      <c r="F633" s="515" t="s">
        <v>52</v>
      </c>
      <c r="G633" s="516" t="s">
        <v>52</v>
      </c>
      <c r="H633" s="517"/>
      <c r="I633" s="518"/>
      <c r="J633" s="358">
        <v>80616.5</v>
      </c>
      <c r="K633" s="518">
        <v>80865.5</v>
      </c>
      <c r="L633" s="517">
        <v>5790</v>
      </c>
      <c r="M633" s="518">
        <v>8242</v>
      </c>
      <c r="N633" s="358">
        <v>83030</v>
      </c>
      <c r="O633" s="518">
        <v>86293.5</v>
      </c>
      <c r="P633" s="601">
        <f t="shared" si="177"/>
        <v>169436.5</v>
      </c>
      <c r="Q633" s="602">
        <f t="shared" si="178"/>
        <v>5647.8833333333332</v>
      </c>
      <c r="R633" s="603">
        <f t="shared" si="179"/>
        <v>175401</v>
      </c>
      <c r="S633" s="604">
        <f t="shared" si="180"/>
        <v>5846.7</v>
      </c>
      <c r="T633" s="517">
        <v>0</v>
      </c>
      <c r="U633" s="518">
        <v>0</v>
      </c>
      <c r="V633" s="601">
        <f t="shared" si="181"/>
        <v>169436.5</v>
      </c>
      <c r="W633" s="605">
        <f t="shared" si="182"/>
        <v>175401</v>
      </c>
      <c r="X633" s="519"/>
      <c r="Y633" s="518"/>
      <c r="Z633" s="517"/>
      <c r="AA633" s="518"/>
      <c r="AB633" s="517"/>
      <c r="AC633" s="518"/>
      <c r="AD633" s="517"/>
      <c r="AE633" s="518"/>
      <c r="AF633" s="601">
        <f t="shared" si="183"/>
        <v>0</v>
      </c>
      <c r="AG633" s="602">
        <f t="shared" si="184"/>
        <v>0</v>
      </c>
      <c r="AH633" s="603">
        <f t="shared" si="185"/>
        <v>0</v>
      </c>
      <c r="AI633" s="603">
        <f t="shared" si="186"/>
        <v>0</v>
      </c>
      <c r="AJ633" s="517"/>
      <c r="AK633" s="518"/>
      <c r="AL633" s="601">
        <f t="shared" si="187"/>
        <v>0</v>
      </c>
      <c r="AM633" s="604">
        <f t="shared" si="188"/>
        <v>0</v>
      </c>
      <c r="AN633" s="520"/>
      <c r="AO633" s="521"/>
      <c r="AP633" s="358">
        <v>24115.5</v>
      </c>
      <c r="AQ633" s="521">
        <v>24343.5</v>
      </c>
      <c r="AR633" s="517">
        <v>4611</v>
      </c>
      <c r="AS633" s="521">
        <v>4532.5</v>
      </c>
      <c r="AT633" s="517">
        <v>25198</v>
      </c>
      <c r="AU633" s="521">
        <v>25887.5</v>
      </c>
      <c r="AV633" s="601">
        <f t="shared" si="189"/>
        <v>53924.5</v>
      </c>
      <c r="AW633" s="609">
        <f t="shared" si="190"/>
        <v>2246.8541666666665</v>
      </c>
      <c r="AX633" s="603">
        <f t="shared" si="191"/>
        <v>54763.5</v>
      </c>
      <c r="AY633" s="610">
        <f t="shared" si="192"/>
        <v>2281.8125</v>
      </c>
      <c r="AZ633" s="611">
        <f t="shared" si="193"/>
        <v>7894.7374999999993</v>
      </c>
      <c r="BA633" s="603">
        <f t="shared" si="194"/>
        <v>8128.5124999999998</v>
      </c>
    </row>
    <row r="634" spans="1:53">
      <c r="A634" s="522" t="s">
        <v>166</v>
      </c>
      <c r="B634" s="523" t="s">
        <v>850</v>
      </c>
      <c r="C634" s="527" t="s">
        <v>885</v>
      </c>
      <c r="D634" s="522">
        <v>234030</v>
      </c>
      <c r="E634" s="522">
        <v>2</v>
      </c>
      <c r="F634" s="515" t="s">
        <v>52</v>
      </c>
      <c r="G634" s="516" t="s">
        <v>52</v>
      </c>
      <c r="H634" s="517"/>
      <c r="I634" s="518"/>
      <c r="J634" s="358">
        <v>290545</v>
      </c>
      <c r="K634" s="518">
        <v>290741</v>
      </c>
      <c r="L634" s="517">
        <v>46445.5</v>
      </c>
      <c r="M634" s="518">
        <v>43683.5</v>
      </c>
      <c r="N634" s="358">
        <v>311372</v>
      </c>
      <c r="O634" s="518">
        <v>315682</v>
      </c>
      <c r="P634" s="601">
        <f t="shared" si="177"/>
        <v>648362.5</v>
      </c>
      <c r="Q634" s="602">
        <f t="shared" si="178"/>
        <v>21612.083333333332</v>
      </c>
      <c r="R634" s="603">
        <f t="shared" si="179"/>
        <v>650106.5</v>
      </c>
      <c r="S634" s="604">
        <f t="shared" si="180"/>
        <v>21670.216666666667</v>
      </c>
      <c r="T634" s="517">
        <v>4740</v>
      </c>
      <c r="U634" s="518">
        <v>7584</v>
      </c>
      <c r="V634" s="601">
        <f t="shared" si="181"/>
        <v>648362.5</v>
      </c>
      <c r="W634" s="605">
        <f t="shared" si="182"/>
        <v>650106.5</v>
      </c>
      <c r="X634" s="519"/>
      <c r="Y634" s="518"/>
      <c r="Z634" s="517"/>
      <c r="AA634" s="518"/>
      <c r="AB634" s="517"/>
      <c r="AC634" s="518"/>
      <c r="AD634" s="517"/>
      <c r="AE634" s="518"/>
      <c r="AF634" s="601">
        <f t="shared" si="183"/>
        <v>0</v>
      </c>
      <c r="AG634" s="602">
        <f t="shared" si="184"/>
        <v>0</v>
      </c>
      <c r="AH634" s="603">
        <f t="shared" si="185"/>
        <v>0</v>
      </c>
      <c r="AI634" s="603">
        <f t="shared" si="186"/>
        <v>0</v>
      </c>
      <c r="AJ634" s="517"/>
      <c r="AK634" s="518"/>
      <c r="AL634" s="601">
        <f t="shared" si="187"/>
        <v>0</v>
      </c>
      <c r="AM634" s="604">
        <f t="shared" si="188"/>
        <v>0</v>
      </c>
      <c r="AN634" s="520"/>
      <c r="AO634" s="521"/>
      <c r="AP634" s="358">
        <v>63780.5</v>
      </c>
      <c r="AQ634" s="521">
        <v>61410.5</v>
      </c>
      <c r="AR634" s="517">
        <v>16061</v>
      </c>
      <c r="AS634" s="521">
        <v>15123.5</v>
      </c>
      <c r="AT634" s="517">
        <v>67698</v>
      </c>
      <c r="AU634" s="521">
        <v>64254</v>
      </c>
      <c r="AV634" s="601">
        <f t="shared" si="189"/>
        <v>147539.5</v>
      </c>
      <c r="AW634" s="609">
        <f t="shared" si="190"/>
        <v>6147.479166666667</v>
      </c>
      <c r="AX634" s="603">
        <f t="shared" si="191"/>
        <v>140788</v>
      </c>
      <c r="AY634" s="610">
        <f t="shared" si="192"/>
        <v>5866.166666666667</v>
      </c>
      <c r="AZ634" s="611">
        <f t="shared" si="193"/>
        <v>27759.5625</v>
      </c>
      <c r="BA634" s="603">
        <f t="shared" si="194"/>
        <v>27536.383333333335</v>
      </c>
    </row>
    <row r="635" spans="1:53">
      <c r="A635" s="522" t="s">
        <v>166</v>
      </c>
      <c r="B635" s="524" t="s">
        <v>851</v>
      </c>
      <c r="C635" s="527"/>
      <c r="D635" s="522">
        <v>232423</v>
      </c>
      <c r="E635" s="522">
        <v>3</v>
      </c>
      <c r="F635" s="515" t="s">
        <v>52</v>
      </c>
      <c r="G635" s="516" t="s">
        <v>52</v>
      </c>
      <c r="H635" s="517"/>
      <c r="I635" s="518"/>
      <c r="J635" s="358">
        <v>238297</v>
      </c>
      <c r="K635" s="518">
        <v>243645</v>
      </c>
      <c r="L635" s="517">
        <v>25570</v>
      </c>
      <c r="M635" s="518">
        <v>27247</v>
      </c>
      <c r="N635" s="358">
        <v>258230</v>
      </c>
      <c r="O635" s="518">
        <v>262989</v>
      </c>
      <c r="P635" s="601">
        <f t="shared" si="177"/>
        <v>522097</v>
      </c>
      <c r="Q635" s="602">
        <f t="shared" si="178"/>
        <v>17403.233333333334</v>
      </c>
      <c r="R635" s="603">
        <f t="shared" si="179"/>
        <v>533881</v>
      </c>
      <c r="S635" s="604">
        <f t="shared" si="180"/>
        <v>17796.033333333333</v>
      </c>
      <c r="T635" s="517">
        <v>1774</v>
      </c>
      <c r="U635" s="518">
        <v>5941</v>
      </c>
      <c r="V635" s="601">
        <f t="shared" si="181"/>
        <v>522097</v>
      </c>
      <c r="W635" s="605">
        <f t="shared" si="182"/>
        <v>533881</v>
      </c>
      <c r="X635" s="519"/>
      <c r="Y635" s="518"/>
      <c r="Z635" s="517"/>
      <c r="AA635" s="518"/>
      <c r="AB635" s="517"/>
      <c r="AC635" s="518"/>
      <c r="AD635" s="517"/>
      <c r="AE635" s="518"/>
      <c r="AF635" s="601">
        <f t="shared" si="183"/>
        <v>0</v>
      </c>
      <c r="AG635" s="602">
        <f t="shared" si="184"/>
        <v>0</v>
      </c>
      <c r="AH635" s="603">
        <f t="shared" si="185"/>
        <v>0</v>
      </c>
      <c r="AI635" s="603">
        <f t="shared" si="186"/>
        <v>0</v>
      </c>
      <c r="AJ635" s="517"/>
      <c r="AK635" s="518"/>
      <c r="AL635" s="601">
        <f t="shared" si="187"/>
        <v>0</v>
      </c>
      <c r="AM635" s="604">
        <f t="shared" si="188"/>
        <v>0</v>
      </c>
      <c r="AN635" s="520"/>
      <c r="AO635" s="521"/>
      <c r="AP635" s="358">
        <v>12624</v>
      </c>
      <c r="AQ635" s="521">
        <v>12860</v>
      </c>
      <c r="AR635" s="517">
        <v>6280</v>
      </c>
      <c r="AS635" s="521">
        <v>6613</v>
      </c>
      <c r="AT635" s="517">
        <v>14310</v>
      </c>
      <c r="AU635" s="521">
        <v>14452</v>
      </c>
      <c r="AV635" s="601">
        <f t="shared" si="189"/>
        <v>33214</v>
      </c>
      <c r="AW635" s="609">
        <f t="shared" si="190"/>
        <v>1383.9166666666667</v>
      </c>
      <c r="AX635" s="603">
        <f t="shared" si="191"/>
        <v>33925</v>
      </c>
      <c r="AY635" s="610">
        <f t="shared" si="192"/>
        <v>1413.5416666666667</v>
      </c>
      <c r="AZ635" s="611">
        <f t="shared" si="193"/>
        <v>18787.150000000001</v>
      </c>
      <c r="BA635" s="603">
        <f t="shared" si="194"/>
        <v>19209.575000000001</v>
      </c>
    </row>
    <row r="636" spans="1:53">
      <c r="A636" s="522" t="s">
        <v>166</v>
      </c>
      <c r="B636" s="523" t="s">
        <v>852</v>
      </c>
      <c r="C636" s="527"/>
      <c r="D636" s="522">
        <v>232937</v>
      </c>
      <c r="E636" s="522">
        <v>3</v>
      </c>
      <c r="F636" s="515" t="s">
        <v>52</v>
      </c>
      <c r="G636" s="516" t="s">
        <v>52</v>
      </c>
      <c r="H636" s="517"/>
      <c r="I636" s="518"/>
      <c r="J636" s="358">
        <v>70716</v>
      </c>
      <c r="K636" s="518">
        <v>71365</v>
      </c>
      <c r="L636" s="517">
        <v>10135</v>
      </c>
      <c r="M636" s="518">
        <v>11666</v>
      </c>
      <c r="N636" s="358">
        <v>75745</v>
      </c>
      <c r="O636" s="518">
        <v>77677</v>
      </c>
      <c r="P636" s="601">
        <f t="shared" si="177"/>
        <v>156596</v>
      </c>
      <c r="Q636" s="602">
        <f t="shared" si="178"/>
        <v>5219.8666666666668</v>
      </c>
      <c r="R636" s="603">
        <f t="shared" si="179"/>
        <v>160708</v>
      </c>
      <c r="S636" s="604">
        <f t="shared" si="180"/>
        <v>5356.9333333333334</v>
      </c>
      <c r="T636" s="517">
        <v>111</v>
      </c>
      <c r="U636" s="518">
        <v>183</v>
      </c>
      <c r="V636" s="601">
        <f t="shared" si="181"/>
        <v>156596</v>
      </c>
      <c r="W636" s="605">
        <f t="shared" si="182"/>
        <v>160708</v>
      </c>
      <c r="X636" s="519"/>
      <c r="Y636" s="518"/>
      <c r="Z636" s="517"/>
      <c r="AA636" s="518"/>
      <c r="AB636" s="517"/>
      <c r="AC636" s="518"/>
      <c r="AD636" s="517"/>
      <c r="AE636" s="518"/>
      <c r="AF636" s="601">
        <f t="shared" si="183"/>
        <v>0</v>
      </c>
      <c r="AG636" s="602">
        <f t="shared" si="184"/>
        <v>0</v>
      </c>
      <c r="AH636" s="603">
        <f t="shared" si="185"/>
        <v>0</v>
      </c>
      <c r="AI636" s="603">
        <f t="shared" si="186"/>
        <v>0</v>
      </c>
      <c r="AJ636" s="517"/>
      <c r="AK636" s="518"/>
      <c r="AL636" s="601">
        <f t="shared" si="187"/>
        <v>0</v>
      </c>
      <c r="AM636" s="604">
        <f t="shared" si="188"/>
        <v>0</v>
      </c>
      <c r="AN636" s="520"/>
      <c r="AO636" s="521"/>
      <c r="AP636" s="358">
        <v>6402</v>
      </c>
      <c r="AQ636" s="521">
        <v>6240</v>
      </c>
      <c r="AR636" s="517">
        <v>1551</v>
      </c>
      <c r="AS636" s="521">
        <v>1279</v>
      </c>
      <c r="AT636" s="517">
        <v>6731</v>
      </c>
      <c r="AU636" s="521">
        <v>6580</v>
      </c>
      <c r="AV636" s="601">
        <f t="shared" si="189"/>
        <v>14684</v>
      </c>
      <c r="AW636" s="609">
        <f t="shared" si="190"/>
        <v>611.83333333333337</v>
      </c>
      <c r="AX636" s="603">
        <f t="shared" si="191"/>
        <v>14099</v>
      </c>
      <c r="AY636" s="610">
        <f t="shared" si="192"/>
        <v>587.45833333333337</v>
      </c>
      <c r="AZ636" s="611">
        <f t="shared" si="193"/>
        <v>5831.7</v>
      </c>
      <c r="BA636" s="603">
        <f t="shared" si="194"/>
        <v>5944.3916666666664</v>
      </c>
    </row>
    <row r="637" spans="1:53">
      <c r="A637" s="522" t="s">
        <v>166</v>
      </c>
      <c r="B637" s="513" t="s">
        <v>853</v>
      </c>
      <c r="C637" s="527" t="s">
        <v>886</v>
      </c>
      <c r="D637" s="522">
        <v>232566</v>
      </c>
      <c r="E637" s="514">
        <v>4</v>
      </c>
      <c r="F637" s="515" t="s">
        <v>52</v>
      </c>
      <c r="G637" s="516" t="s">
        <v>52</v>
      </c>
      <c r="H637" s="517"/>
      <c r="I637" s="518"/>
      <c r="J637" s="358">
        <v>56397</v>
      </c>
      <c r="K637" s="518">
        <v>56290</v>
      </c>
      <c r="L637" s="517">
        <v>7965</v>
      </c>
      <c r="M637" s="518">
        <v>8967</v>
      </c>
      <c r="N637" s="358">
        <v>60036</v>
      </c>
      <c r="O637" s="518">
        <v>61455</v>
      </c>
      <c r="P637" s="601">
        <f t="shared" si="177"/>
        <v>124398</v>
      </c>
      <c r="Q637" s="602">
        <f t="shared" si="178"/>
        <v>4146.6000000000004</v>
      </c>
      <c r="R637" s="603">
        <f t="shared" si="179"/>
        <v>126712</v>
      </c>
      <c r="S637" s="604">
        <f t="shared" si="180"/>
        <v>4223.7333333333336</v>
      </c>
      <c r="T637" s="517">
        <v>9</v>
      </c>
      <c r="U637" s="518">
        <v>14</v>
      </c>
      <c r="V637" s="601">
        <f t="shared" si="181"/>
        <v>124398</v>
      </c>
      <c r="W637" s="605">
        <f t="shared" si="182"/>
        <v>126712</v>
      </c>
      <c r="X637" s="519"/>
      <c r="Y637" s="518"/>
      <c r="Z637" s="517"/>
      <c r="AA637" s="518"/>
      <c r="AB637" s="517"/>
      <c r="AC637" s="518"/>
      <c r="AD637" s="517"/>
      <c r="AE637" s="518"/>
      <c r="AF637" s="601">
        <f t="shared" si="183"/>
        <v>0</v>
      </c>
      <c r="AG637" s="602">
        <f t="shared" si="184"/>
        <v>0</v>
      </c>
      <c r="AH637" s="603">
        <f t="shared" si="185"/>
        <v>0</v>
      </c>
      <c r="AI637" s="603">
        <f t="shared" si="186"/>
        <v>0</v>
      </c>
      <c r="AJ637" s="517"/>
      <c r="AK637" s="518"/>
      <c r="AL637" s="601">
        <f t="shared" si="187"/>
        <v>0</v>
      </c>
      <c r="AM637" s="604">
        <f t="shared" si="188"/>
        <v>0</v>
      </c>
      <c r="AN637" s="520"/>
      <c r="AO637" s="521"/>
      <c r="AP637" s="358">
        <v>2567</v>
      </c>
      <c r="AQ637" s="521">
        <v>2768</v>
      </c>
      <c r="AR637" s="517">
        <v>2734</v>
      </c>
      <c r="AS637" s="521">
        <v>2361</v>
      </c>
      <c r="AT637" s="517">
        <v>3550</v>
      </c>
      <c r="AU637" s="521">
        <v>2642</v>
      </c>
      <c r="AV637" s="601">
        <f t="shared" si="189"/>
        <v>8851</v>
      </c>
      <c r="AW637" s="609">
        <f t="shared" si="190"/>
        <v>368.79166666666669</v>
      </c>
      <c r="AX637" s="603">
        <f t="shared" si="191"/>
        <v>7771</v>
      </c>
      <c r="AY637" s="610">
        <f t="shared" si="192"/>
        <v>323.79166666666669</v>
      </c>
      <c r="AZ637" s="611">
        <f t="shared" si="193"/>
        <v>4515.3916666666673</v>
      </c>
      <c r="BA637" s="603">
        <f t="shared" si="194"/>
        <v>4547.5250000000005</v>
      </c>
    </row>
    <row r="638" spans="1:53">
      <c r="A638" s="522" t="s">
        <v>166</v>
      </c>
      <c r="B638" s="523" t="s">
        <v>854</v>
      </c>
      <c r="C638" s="527" t="s">
        <v>886</v>
      </c>
      <c r="D638" s="522">
        <v>233277</v>
      </c>
      <c r="E638" s="522">
        <v>4</v>
      </c>
      <c r="F638" s="515" t="s">
        <v>52</v>
      </c>
      <c r="G638" s="516" t="s">
        <v>52</v>
      </c>
      <c r="H638" s="517"/>
      <c r="I638" s="518"/>
      <c r="J638" s="358">
        <v>106960</v>
      </c>
      <c r="K638" s="518">
        <v>109223</v>
      </c>
      <c r="L638" s="517">
        <v>10904</v>
      </c>
      <c r="M638" s="518">
        <v>11751</v>
      </c>
      <c r="N638" s="358">
        <v>117746</v>
      </c>
      <c r="O638" s="518">
        <v>123596</v>
      </c>
      <c r="P638" s="601">
        <f t="shared" si="177"/>
        <v>235610</v>
      </c>
      <c r="Q638" s="602">
        <f t="shared" si="178"/>
        <v>7853.666666666667</v>
      </c>
      <c r="R638" s="603">
        <f t="shared" si="179"/>
        <v>244570</v>
      </c>
      <c r="S638" s="604">
        <f t="shared" si="180"/>
        <v>8152.333333333333</v>
      </c>
      <c r="T638" s="517">
        <v>0</v>
      </c>
      <c r="U638" s="518">
        <v>242</v>
      </c>
      <c r="V638" s="601">
        <f t="shared" si="181"/>
        <v>235610</v>
      </c>
      <c r="W638" s="605">
        <f t="shared" si="182"/>
        <v>244570</v>
      </c>
      <c r="X638" s="519"/>
      <c r="Y638" s="518"/>
      <c r="Z638" s="517"/>
      <c r="AA638" s="518"/>
      <c r="AB638" s="517"/>
      <c r="AC638" s="518"/>
      <c r="AD638" s="517"/>
      <c r="AE638" s="518"/>
      <c r="AF638" s="601">
        <f t="shared" si="183"/>
        <v>0</v>
      </c>
      <c r="AG638" s="602">
        <f t="shared" si="184"/>
        <v>0</v>
      </c>
      <c r="AH638" s="603">
        <f t="shared" si="185"/>
        <v>0</v>
      </c>
      <c r="AI638" s="603">
        <f t="shared" si="186"/>
        <v>0</v>
      </c>
      <c r="AJ638" s="517"/>
      <c r="AK638" s="518"/>
      <c r="AL638" s="601">
        <f t="shared" si="187"/>
        <v>0</v>
      </c>
      <c r="AM638" s="604">
        <f t="shared" si="188"/>
        <v>0</v>
      </c>
      <c r="AN638" s="520"/>
      <c r="AO638" s="521"/>
      <c r="AP638" s="358">
        <v>7938</v>
      </c>
      <c r="AQ638" s="521">
        <v>8388</v>
      </c>
      <c r="AR638" s="517">
        <v>3948</v>
      </c>
      <c r="AS638" s="521">
        <v>4295</v>
      </c>
      <c r="AT638" s="517">
        <v>8375</v>
      </c>
      <c r="AU638" s="521">
        <v>7815</v>
      </c>
      <c r="AV638" s="601">
        <f t="shared" si="189"/>
        <v>20261</v>
      </c>
      <c r="AW638" s="609">
        <f t="shared" si="190"/>
        <v>844.20833333333337</v>
      </c>
      <c r="AX638" s="603">
        <f t="shared" si="191"/>
        <v>20498</v>
      </c>
      <c r="AY638" s="610">
        <f t="shared" si="192"/>
        <v>854.08333333333337</v>
      </c>
      <c r="AZ638" s="611">
        <f t="shared" si="193"/>
        <v>8697.875</v>
      </c>
      <c r="BA638" s="603">
        <f t="shared" si="194"/>
        <v>9006.4166666666661</v>
      </c>
    </row>
    <row r="639" spans="1:53">
      <c r="A639" s="522" t="s">
        <v>166</v>
      </c>
      <c r="B639" s="523" t="s">
        <v>855</v>
      </c>
      <c r="C639" s="527" t="s">
        <v>886</v>
      </c>
      <c r="D639" s="522">
        <v>234155</v>
      </c>
      <c r="E639" s="522">
        <v>4</v>
      </c>
      <c r="F639" s="515" t="s">
        <v>52</v>
      </c>
      <c r="G639" s="516" t="s">
        <v>52</v>
      </c>
      <c r="H639" s="517"/>
      <c r="I639" s="518"/>
      <c r="J639" s="358">
        <v>68910</v>
      </c>
      <c r="K639" s="518">
        <v>73263</v>
      </c>
      <c r="L639" s="517">
        <v>5885</v>
      </c>
      <c r="M639" s="518">
        <v>5926</v>
      </c>
      <c r="N639" s="358">
        <v>77714</v>
      </c>
      <c r="O639" s="518">
        <v>78398</v>
      </c>
      <c r="P639" s="601">
        <f t="shared" si="177"/>
        <v>152509</v>
      </c>
      <c r="Q639" s="602">
        <f t="shared" si="178"/>
        <v>5083.6333333333332</v>
      </c>
      <c r="R639" s="603">
        <f t="shared" si="179"/>
        <v>157587</v>
      </c>
      <c r="S639" s="604">
        <f t="shared" si="180"/>
        <v>5252.9</v>
      </c>
      <c r="T639" s="517">
        <v>0</v>
      </c>
      <c r="U639" s="518">
        <v>0</v>
      </c>
      <c r="V639" s="601">
        <f t="shared" si="181"/>
        <v>152509</v>
      </c>
      <c r="W639" s="605">
        <f t="shared" si="182"/>
        <v>157587</v>
      </c>
      <c r="X639" s="519"/>
      <c r="Y639" s="518"/>
      <c r="Z639" s="517"/>
      <c r="AA639" s="518"/>
      <c r="AB639" s="517"/>
      <c r="AC639" s="518"/>
      <c r="AD639" s="517"/>
      <c r="AE639" s="518"/>
      <c r="AF639" s="601">
        <f t="shared" si="183"/>
        <v>0</v>
      </c>
      <c r="AG639" s="602">
        <f t="shared" si="184"/>
        <v>0</v>
      </c>
      <c r="AH639" s="603">
        <f t="shared" si="185"/>
        <v>0</v>
      </c>
      <c r="AI639" s="603">
        <f t="shared" si="186"/>
        <v>0</v>
      </c>
      <c r="AJ639" s="517"/>
      <c r="AK639" s="518"/>
      <c r="AL639" s="601">
        <f t="shared" si="187"/>
        <v>0</v>
      </c>
      <c r="AM639" s="604">
        <f t="shared" si="188"/>
        <v>0</v>
      </c>
      <c r="AN639" s="520"/>
      <c r="AO639" s="521"/>
      <c r="AP639" s="358">
        <v>3920</v>
      </c>
      <c r="AQ639" s="521">
        <v>4212</v>
      </c>
      <c r="AR639" s="517">
        <v>1239</v>
      </c>
      <c r="AS639" s="521">
        <v>1239</v>
      </c>
      <c r="AT639" s="517">
        <v>4246</v>
      </c>
      <c r="AU639" s="521">
        <v>4412</v>
      </c>
      <c r="AV639" s="601">
        <f t="shared" si="189"/>
        <v>9405</v>
      </c>
      <c r="AW639" s="609">
        <f t="shared" si="190"/>
        <v>391.875</v>
      </c>
      <c r="AX639" s="603">
        <f t="shared" si="191"/>
        <v>9863</v>
      </c>
      <c r="AY639" s="610">
        <f t="shared" si="192"/>
        <v>410.95833333333331</v>
      </c>
      <c r="AZ639" s="611">
        <f t="shared" si="193"/>
        <v>5475.5083333333332</v>
      </c>
      <c r="BA639" s="603">
        <f t="shared" si="194"/>
        <v>5663.8583333333327</v>
      </c>
    </row>
    <row r="640" spans="1:53">
      <c r="A640" s="522" t="s">
        <v>166</v>
      </c>
      <c r="B640" s="523" t="s">
        <v>856</v>
      </c>
      <c r="C640" s="527" t="s">
        <v>887</v>
      </c>
      <c r="D640" s="522">
        <v>231712</v>
      </c>
      <c r="E640" s="522">
        <v>5</v>
      </c>
      <c r="F640" s="515" t="s">
        <v>52</v>
      </c>
      <c r="G640" s="516" t="s">
        <v>52</v>
      </c>
      <c r="H640" s="517"/>
      <c r="I640" s="518"/>
      <c r="J640" s="358">
        <v>65400</v>
      </c>
      <c r="K640" s="518">
        <v>67569</v>
      </c>
      <c r="L640" s="517">
        <v>2895</v>
      </c>
      <c r="M640" s="518">
        <v>2040</v>
      </c>
      <c r="N640" s="358">
        <v>69799</v>
      </c>
      <c r="O640" s="518">
        <v>71060</v>
      </c>
      <c r="P640" s="601">
        <f t="shared" si="177"/>
        <v>138094</v>
      </c>
      <c r="Q640" s="602">
        <f t="shared" si="178"/>
        <v>4603.1333333333332</v>
      </c>
      <c r="R640" s="603">
        <f t="shared" si="179"/>
        <v>140669</v>
      </c>
      <c r="S640" s="604">
        <f t="shared" si="180"/>
        <v>4688.9666666666662</v>
      </c>
      <c r="T640" s="517">
        <v>3</v>
      </c>
      <c r="U640" s="518">
        <v>12</v>
      </c>
      <c r="V640" s="601">
        <f t="shared" si="181"/>
        <v>138094</v>
      </c>
      <c r="W640" s="605">
        <f t="shared" si="182"/>
        <v>140669</v>
      </c>
      <c r="X640" s="519"/>
      <c r="Y640" s="518"/>
      <c r="Z640" s="517"/>
      <c r="AA640" s="518"/>
      <c r="AB640" s="517"/>
      <c r="AC640" s="518"/>
      <c r="AD640" s="517"/>
      <c r="AE640" s="518"/>
      <c r="AF640" s="601">
        <f t="shared" si="183"/>
        <v>0</v>
      </c>
      <c r="AG640" s="602">
        <f t="shared" si="184"/>
        <v>0</v>
      </c>
      <c r="AH640" s="603">
        <f t="shared" si="185"/>
        <v>0</v>
      </c>
      <c r="AI640" s="603">
        <f t="shared" si="186"/>
        <v>0</v>
      </c>
      <c r="AJ640" s="517"/>
      <c r="AK640" s="518"/>
      <c r="AL640" s="601">
        <f t="shared" si="187"/>
        <v>0</v>
      </c>
      <c r="AM640" s="604">
        <f t="shared" si="188"/>
        <v>0</v>
      </c>
      <c r="AN640" s="520"/>
      <c r="AO640" s="521"/>
      <c r="AP640" s="358">
        <v>1680</v>
      </c>
      <c r="AQ640" s="521">
        <v>1391</v>
      </c>
      <c r="AR640" s="517">
        <v>1150</v>
      </c>
      <c r="AS640" s="521">
        <v>871</v>
      </c>
      <c r="AT640" s="517">
        <v>1161</v>
      </c>
      <c r="AU640" s="521">
        <v>1545</v>
      </c>
      <c r="AV640" s="601">
        <f t="shared" si="189"/>
        <v>3991</v>
      </c>
      <c r="AW640" s="609">
        <f t="shared" si="190"/>
        <v>166.29166666666666</v>
      </c>
      <c r="AX640" s="603">
        <f t="shared" si="191"/>
        <v>3807</v>
      </c>
      <c r="AY640" s="610">
        <f t="shared" si="192"/>
        <v>158.625</v>
      </c>
      <c r="AZ640" s="611">
        <f t="shared" si="193"/>
        <v>4769.4250000000002</v>
      </c>
      <c r="BA640" s="603">
        <f t="shared" si="194"/>
        <v>4847.5916666666662</v>
      </c>
    </row>
    <row r="641" spans="1:53">
      <c r="A641" s="522" t="s">
        <v>166</v>
      </c>
      <c r="B641" s="524" t="s">
        <v>857</v>
      </c>
      <c r="C641" s="527" t="s">
        <v>886</v>
      </c>
      <c r="D641" s="522">
        <v>232681</v>
      </c>
      <c r="E641" s="522">
        <v>5</v>
      </c>
      <c r="F641" s="515" t="s">
        <v>52</v>
      </c>
      <c r="G641" s="516" t="s">
        <v>52</v>
      </c>
      <c r="H641" s="517"/>
      <c r="I641" s="518"/>
      <c r="J641" s="358">
        <v>58105</v>
      </c>
      <c r="K641" s="518">
        <v>58309</v>
      </c>
      <c r="L641" s="517">
        <v>7189</v>
      </c>
      <c r="M641" s="518">
        <v>7097</v>
      </c>
      <c r="N641" s="358">
        <v>61011</v>
      </c>
      <c r="O641" s="518">
        <v>61385</v>
      </c>
      <c r="P641" s="601">
        <f t="shared" si="177"/>
        <v>126305</v>
      </c>
      <c r="Q641" s="602">
        <f t="shared" si="178"/>
        <v>4210.166666666667</v>
      </c>
      <c r="R641" s="603">
        <f t="shared" si="179"/>
        <v>126791</v>
      </c>
      <c r="S641" s="604">
        <f t="shared" si="180"/>
        <v>4226.3666666666668</v>
      </c>
      <c r="T641" s="517">
        <v>32</v>
      </c>
      <c r="U641" s="518">
        <v>18</v>
      </c>
      <c r="V641" s="601">
        <f t="shared" si="181"/>
        <v>126305</v>
      </c>
      <c r="W641" s="605">
        <f t="shared" si="182"/>
        <v>126791</v>
      </c>
      <c r="X641" s="519"/>
      <c r="Y641" s="518"/>
      <c r="Z641" s="517"/>
      <c r="AA641" s="518"/>
      <c r="AB641" s="517"/>
      <c r="AC641" s="518"/>
      <c r="AD641" s="517"/>
      <c r="AE641" s="518"/>
      <c r="AF641" s="601">
        <f t="shared" si="183"/>
        <v>0</v>
      </c>
      <c r="AG641" s="602">
        <f t="shared" si="184"/>
        <v>0</v>
      </c>
      <c r="AH641" s="603">
        <f t="shared" si="185"/>
        <v>0</v>
      </c>
      <c r="AI641" s="603">
        <f t="shared" si="186"/>
        <v>0</v>
      </c>
      <c r="AJ641" s="517"/>
      <c r="AK641" s="518"/>
      <c r="AL641" s="601">
        <f t="shared" si="187"/>
        <v>0</v>
      </c>
      <c r="AM641" s="604">
        <f t="shared" si="188"/>
        <v>0</v>
      </c>
      <c r="AN641" s="520"/>
      <c r="AO641" s="521"/>
      <c r="AP641" s="358">
        <v>4566</v>
      </c>
      <c r="AQ641" s="521">
        <v>4025</v>
      </c>
      <c r="AR641" s="517">
        <v>2141</v>
      </c>
      <c r="AS641" s="521">
        <v>1848</v>
      </c>
      <c r="AT641" s="517">
        <v>5001</v>
      </c>
      <c r="AU641" s="521">
        <v>3834</v>
      </c>
      <c r="AV641" s="601">
        <f t="shared" si="189"/>
        <v>11708</v>
      </c>
      <c r="AW641" s="609">
        <f t="shared" si="190"/>
        <v>487.83333333333331</v>
      </c>
      <c r="AX641" s="603">
        <f t="shared" si="191"/>
        <v>9707</v>
      </c>
      <c r="AY641" s="610">
        <f t="shared" si="192"/>
        <v>404.45833333333331</v>
      </c>
      <c r="AZ641" s="611">
        <f t="shared" si="193"/>
        <v>4698</v>
      </c>
      <c r="BA641" s="603">
        <f t="shared" si="194"/>
        <v>4630.8249999999998</v>
      </c>
    </row>
    <row r="642" spans="1:53">
      <c r="A642" s="522" t="s">
        <v>166</v>
      </c>
      <c r="B642" s="524" t="s">
        <v>858</v>
      </c>
      <c r="C642" s="528"/>
      <c r="D642" s="522">
        <v>233897</v>
      </c>
      <c r="E642" s="522">
        <v>6</v>
      </c>
      <c r="F642" s="515" t="s">
        <v>52</v>
      </c>
      <c r="G642" s="516" t="s">
        <v>52</v>
      </c>
      <c r="H642" s="517"/>
      <c r="I642" s="518"/>
      <c r="J642" s="358">
        <v>21491.5</v>
      </c>
      <c r="K642" s="518">
        <v>23807</v>
      </c>
      <c r="L642" s="517">
        <v>3114.5</v>
      </c>
      <c r="M642" s="518">
        <v>2810</v>
      </c>
      <c r="N642" s="358">
        <v>26093.3</v>
      </c>
      <c r="O642" s="518">
        <v>25093</v>
      </c>
      <c r="P642" s="601">
        <f t="shared" ref="P642:P692" si="223">SUM(H642,J642,L642,N642)</f>
        <v>50699.3</v>
      </c>
      <c r="Q642" s="602">
        <f t="shared" ref="Q642:Q692" si="224">+P642/30</f>
        <v>1689.9766666666667</v>
      </c>
      <c r="R642" s="603">
        <f t="shared" si="179"/>
        <v>51710</v>
      </c>
      <c r="S642" s="604">
        <f t="shared" ref="S642:S692" si="225">+R642/30</f>
        <v>1723.6666666666667</v>
      </c>
      <c r="T642" s="517">
        <v>142</v>
      </c>
      <c r="U642" s="518">
        <v>81</v>
      </c>
      <c r="V642" s="601">
        <f t="shared" ref="V642:V692" si="226">IF(ISBLANK(T642),0,P642)</f>
        <v>50699.3</v>
      </c>
      <c r="W642" s="605">
        <f t="shared" ref="W642:W692" si="227">IF(ISBLANK(U642),0,R642)</f>
        <v>51710</v>
      </c>
      <c r="X642" s="519"/>
      <c r="Y642" s="518"/>
      <c r="Z642" s="517"/>
      <c r="AA642" s="518"/>
      <c r="AB642" s="517"/>
      <c r="AC642" s="518"/>
      <c r="AD642" s="517"/>
      <c r="AE642" s="518"/>
      <c r="AF642" s="601">
        <f t="shared" ref="AF642:AF692" si="228">SUM(X642,Z642,AB642,AD642)</f>
        <v>0</v>
      </c>
      <c r="AG642" s="602">
        <f t="shared" ref="AG642:AG692" si="229">+AF642/900</f>
        <v>0</v>
      </c>
      <c r="AH642" s="603">
        <f t="shared" ref="AH642:AH692" si="230">SUM(Y642,AA642,AC642,AE642)</f>
        <v>0</v>
      </c>
      <c r="AI642" s="603">
        <f t="shared" ref="AI642:AI692" si="231">+AH642/900</f>
        <v>0</v>
      </c>
      <c r="AJ642" s="517"/>
      <c r="AK642" s="518"/>
      <c r="AL642" s="601">
        <f t="shared" ref="AL642:AL692" si="232">IF(ISBLANK(AJ642),0,AF642)</f>
        <v>0</v>
      </c>
      <c r="AM642" s="604">
        <f t="shared" ref="AM642:AM692" si="233">IF(ISBLANK(AK642),0,AH642)</f>
        <v>0</v>
      </c>
      <c r="AN642" s="520"/>
      <c r="AO642" s="521"/>
      <c r="AP642" s="517">
        <v>0</v>
      </c>
      <c r="AQ642" s="521">
        <v>0</v>
      </c>
      <c r="AR642" s="517">
        <v>0</v>
      </c>
      <c r="AS642" s="521">
        <v>0</v>
      </c>
      <c r="AT642" s="517">
        <v>0</v>
      </c>
      <c r="AU642" s="521">
        <v>0</v>
      </c>
      <c r="AV642" s="601">
        <f t="shared" ref="AV642:AV692" si="234">SUM(AN642,AP642,AR642,AT642)</f>
        <v>0</v>
      </c>
      <c r="AW642" s="609">
        <f t="shared" ref="AW642:AW692" si="235">+AV642/24</f>
        <v>0</v>
      </c>
      <c r="AX642" s="603">
        <f t="shared" ref="AX642:AX692" si="236">SUM(AO642,AQ642,AS642,AU642)</f>
        <v>0</v>
      </c>
      <c r="AY642" s="610">
        <f t="shared" ref="AY642:AY692" si="237">+AX642/24</f>
        <v>0</v>
      </c>
      <c r="AZ642" s="611">
        <f t="shared" ref="AZ642:AZ692" si="238">SUM(Q642,AG642,AW642)</f>
        <v>1689.9766666666667</v>
      </c>
      <c r="BA642" s="603">
        <f t="shared" ref="BA642:BA692" si="239">SUM(S642,AI642,AY642)</f>
        <v>1723.6666666666667</v>
      </c>
    </row>
    <row r="643" spans="1:53">
      <c r="A643" s="522" t="s">
        <v>166</v>
      </c>
      <c r="B643" s="624" t="s">
        <v>859</v>
      </c>
      <c r="C643" s="625"/>
      <c r="D643" s="522">
        <v>232414</v>
      </c>
      <c r="E643" s="529">
        <v>8</v>
      </c>
      <c r="F643" s="515" t="s">
        <v>52</v>
      </c>
      <c r="G643" s="516" t="s">
        <v>52</v>
      </c>
      <c r="H643" s="517"/>
      <c r="J643" s="358">
        <v>103618</v>
      </c>
      <c r="K643" s="518">
        <v>105802</v>
      </c>
      <c r="L643" s="517">
        <v>34677</v>
      </c>
      <c r="M643" s="518">
        <v>39720</v>
      </c>
      <c r="N643" s="358">
        <v>105935</v>
      </c>
      <c r="O643" s="518">
        <v>113193</v>
      </c>
      <c r="P643" s="601">
        <f t="shared" si="223"/>
        <v>244230</v>
      </c>
      <c r="Q643" s="602">
        <f t="shared" si="224"/>
        <v>8141</v>
      </c>
      <c r="R643" s="603">
        <f t="shared" si="179"/>
        <v>258715</v>
      </c>
      <c r="S643" s="604">
        <f t="shared" si="225"/>
        <v>8623.8333333333339</v>
      </c>
      <c r="T643" s="517">
        <v>15164</v>
      </c>
      <c r="U643" s="518">
        <v>14126</v>
      </c>
      <c r="V643" s="601">
        <f t="shared" si="226"/>
        <v>244230</v>
      </c>
      <c r="W643" s="605">
        <f t="shared" si="227"/>
        <v>258715</v>
      </c>
      <c r="X643" s="519"/>
      <c r="Y643" s="518"/>
      <c r="Z643" s="517"/>
      <c r="AA643" s="518"/>
      <c r="AB643" s="517"/>
      <c r="AC643" s="518"/>
      <c r="AD643" s="517"/>
      <c r="AE643" s="518"/>
      <c r="AF643" s="601">
        <f t="shared" si="228"/>
        <v>0</v>
      </c>
      <c r="AG643" s="602">
        <f t="shared" si="229"/>
        <v>0</v>
      </c>
      <c r="AH643" s="603">
        <f t="shared" si="230"/>
        <v>0</v>
      </c>
      <c r="AI643" s="603">
        <f t="shared" si="231"/>
        <v>0</v>
      </c>
      <c r="AJ643" s="517"/>
      <c r="AK643" s="518"/>
      <c r="AL643" s="601">
        <f t="shared" si="232"/>
        <v>0</v>
      </c>
      <c r="AM643" s="604">
        <f t="shared" si="233"/>
        <v>0</v>
      </c>
      <c r="AN643" s="520"/>
      <c r="AO643" s="521"/>
      <c r="AP643" s="517">
        <v>0</v>
      </c>
      <c r="AQ643" s="521">
        <v>0</v>
      </c>
      <c r="AR643" s="517">
        <v>0</v>
      </c>
      <c r="AS643" s="521">
        <v>0</v>
      </c>
      <c r="AT643" s="517">
        <v>0</v>
      </c>
      <c r="AU643" s="521">
        <v>0</v>
      </c>
      <c r="AV643" s="601">
        <f t="shared" si="234"/>
        <v>0</v>
      </c>
      <c r="AW643" s="609">
        <f t="shared" si="235"/>
        <v>0</v>
      </c>
      <c r="AX643" s="603">
        <f t="shared" si="236"/>
        <v>0</v>
      </c>
      <c r="AY643" s="610">
        <f t="shared" si="237"/>
        <v>0</v>
      </c>
      <c r="AZ643" s="611">
        <f t="shared" si="238"/>
        <v>8141</v>
      </c>
      <c r="BA643" s="603">
        <f t="shared" si="239"/>
        <v>8623.8333333333339</v>
      </c>
    </row>
    <row r="644" spans="1:53">
      <c r="A644" s="522" t="s">
        <v>166</v>
      </c>
      <c r="B644" s="624" t="s">
        <v>860</v>
      </c>
      <c r="C644" s="625"/>
      <c r="D644" s="522">
        <v>232946</v>
      </c>
      <c r="E644" s="529">
        <v>8</v>
      </c>
      <c r="F644" s="515" t="s">
        <v>52</v>
      </c>
      <c r="G644" s="516" t="s">
        <v>52</v>
      </c>
      <c r="H644" s="517"/>
      <c r="I644" s="518"/>
      <c r="J644" s="358">
        <v>407537</v>
      </c>
      <c r="K644" s="518">
        <v>428468</v>
      </c>
      <c r="L644" s="517">
        <v>152887</v>
      </c>
      <c r="M644" s="518">
        <v>171453</v>
      </c>
      <c r="N644" s="358">
        <v>440977</v>
      </c>
      <c r="O644" s="518">
        <v>451626</v>
      </c>
      <c r="P644" s="601">
        <f t="shared" si="223"/>
        <v>1001401</v>
      </c>
      <c r="Q644" s="602">
        <f t="shared" si="224"/>
        <v>33380.033333333333</v>
      </c>
      <c r="R644" s="603">
        <f t="shared" ref="R644:R666" si="240">SUM(I644,K644,M644,O644)</f>
        <v>1051547</v>
      </c>
      <c r="S644" s="604">
        <f t="shared" si="225"/>
        <v>35051.566666666666</v>
      </c>
      <c r="T644" s="517">
        <v>18213</v>
      </c>
      <c r="U644" s="518">
        <v>30567</v>
      </c>
      <c r="V644" s="601">
        <f t="shared" si="226"/>
        <v>1001401</v>
      </c>
      <c r="W644" s="605">
        <f t="shared" si="227"/>
        <v>1051547</v>
      </c>
      <c r="X644" s="519"/>
      <c r="Y644" s="518"/>
      <c r="Z644" s="517"/>
      <c r="AA644" s="518"/>
      <c r="AB644" s="517"/>
      <c r="AC644" s="518"/>
      <c r="AD644" s="517"/>
      <c r="AE644" s="518"/>
      <c r="AF644" s="601">
        <f t="shared" si="228"/>
        <v>0</v>
      </c>
      <c r="AG644" s="602">
        <f t="shared" si="229"/>
        <v>0</v>
      </c>
      <c r="AH644" s="603">
        <f t="shared" si="230"/>
        <v>0</v>
      </c>
      <c r="AI644" s="603">
        <f t="shared" si="231"/>
        <v>0</v>
      </c>
      <c r="AJ644" s="517"/>
      <c r="AK644" s="518"/>
      <c r="AL644" s="601">
        <f t="shared" si="232"/>
        <v>0</v>
      </c>
      <c r="AM644" s="604">
        <f t="shared" si="233"/>
        <v>0</v>
      </c>
      <c r="AN644" s="520"/>
      <c r="AO644" s="521"/>
      <c r="AP644" s="517">
        <v>0</v>
      </c>
      <c r="AQ644" s="521">
        <v>0</v>
      </c>
      <c r="AR644" s="517">
        <v>0</v>
      </c>
      <c r="AS644" s="521">
        <v>0</v>
      </c>
      <c r="AT644" s="517">
        <v>0</v>
      </c>
      <c r="AU644" s="521">
        <v>0</v>
      </c>
      <c r="AV644" s="601">
        <f t="shared" si="234"/>
        <v>0</v>
      </c>
      <c r="AW644" s="609">
        <f t="shared" si="235"/>
        <v>0</v>
      </c>
      <c r="AX644" s="603">
        <f t="shared" si="236"/>
        <v>0</v>
      </c>
      <c r="AY644" s="610">
        <f t="shared" si="237"/>
        <v>0</v>
      </c>
      <c r="AZ644" s="611">
        <f t="shared" si="238"/>
        <v>33380.033333333333</v>
      </c>
      <c r="BA644" s="603">
        <f t="shared" si="239"/>
        <v>35051.566666666666</v>
      </c>
    </row>
    <row r="645" spans="1:53">
      <c r="A645" s="522" t="s">
        <v>166</v>
      </c>
      <c r="B645" s="624" t="s">
        <v>861</v>
      </c>
      <c r="C645" s="625"/>
      <c r="D645" s="522">
        <v>233754</v>
      </c>
      <c r="E645" s="529">
        <v>8</v>
      </c>
      <c r="F645" s="515" t="s">
        <v>52</v>
      </c>
      <c r="G645" s="516" t="s">
        <v>52</v>
      </c>
      <c r="H645" s="517"/>
      <c r="I645" s="518"/>
      <c r="J645" s="358">
        <v>84453</v>
      </c>
      <c r="K645" s="518">
        <v>92841</v>
      </c>
      <c r="L645" s="517">
        <v>23468</v>
      </c>
      <c r="M645" s="518">
        <v>25516</v>
      </c>
      <c r="N645" s="358">
        <v>97009</v>
      </c>
      <c r="O645" s="518">
        <v>96969</v>
      </c>
      <c r="P645" s="601">
        <f t="shared" si="223"/>
        <v>204930</v>
      </c>
      <c r="Q645" s="602">
        <f t="shared" si="224"/>
        <v>6831</v>
      </c>
      <c r="R645" s="603">
        <f t="shared" si="240"/>
        <v>215326</v>
      </c>
      <c r="S645" s="604">
        <f t="shared" si="225"/>
        <v>7177.5333333333338</v>
      </c>
      <c r="T645" s="517">
        <v>14118</v>
      </c>
      <c r="U645" s="518">
        <v>16781</v>
      </c>
      <c r="V645" s="601">
        <f t="shared" si="226"/>
        <v>204930</v>
      </c>
      <c r="W645" s="605">
        <f t="shared" si="227"/>
        <v>215326</v>
      </c>
      <c r="X645" s="519"/>
      <c r="Y645" s="518"/>
      <c r="Z645" s="517"/>
      <c r="AA645" s="518"/>
      <c r="AB645" s="517"/>
      <c r="AC645" s="518"/>
      <c r="AD645" s="517"/>
      <c r="AE645" s="518"/>
      <c r="AF645" s="601">
        <f t="shared" si="228"/>
        <v>0</v>
      </c>
      <c r="AG645" s="602">
        <f t="shared" si="229"/>
        <v>0</v>
      </c>
      <c r="AH645" s="603">
        <f t="shared" si="230"/>
        <v>0</v>
      </c>
      <c r="AI645" s="603">
        <f t="shared" si="231"/>
        <v>0</v>
      </c>
      <c r="AJ645" s="517"/>
      <c r="AK645" s="518"/>
      <c r="AL645" s="601">
        <f t="shared" si="232"/>
        <v>0</v>
      </c>
      <c r="AM645" s="604">
        <f t="shared" si="233"/>
        <v>0</v>
      </c>
      <c r="AN645" s="520"/>
      <c r="AO645" s="521"/>
      <c r="AP645" s="517">
        <v>0</v>
      </c>
      <c r="AQ645" s="521">
        <v>0</v>
      </c>
      <c r="AR645" s="517">
        <v>0</v>
      </c>
      <c r="AS645" s="521">
        <v>0</v>
      </c>
      <c r="AT645" s="517">
        <v>0</v>
      </c>
      <c r="AU645" s="521">
        <v>0</v>
      </c>
      <c r="AV645" s="601">
        <f t="shared" si="234"/>
        <v>0</v>
      </c>
      <c r="AW645" s="609">
        <f t="shared" si="235"/>
        <v>0</v>
      </c>
      <c r="AX645" s="603">
        <f t="shared" si="236"/>
        <v>0</v>
      </c>
      <c r="AY645" s="610">
        <f t="shared" si="237"/>
        <v>0</v>
      </c>
      <c r="AZ645" s="611">
        <f t="shared" si="238"/>
        <v>6831</v>
      </c>
      <c r="BA645" s="603">
        <f t="shared" si="239"/>
        <v>7177.5333333333338</v>
      </c>
    </row>
    <row r="646" spans="1:53">
      <c r="A646" s="522" t="s">
        <v>166</v>
      </c>
      <c r="B646" s="624" t="s">
        <v>862</v>
      </c>
      <c r="C646" s="625"/>
      <c r="D646" s="522">
        <v>233772</v>
      </c>
      <c r="E646" s="529">
        <v>8</v>
      </c>
      <c r="F646" s="515" t="s">
        <v>52</v>
      </c>
      <c r="G646" s="516" t="s">
        <v>52</v>
      </c>
      <c r="H646" s="517"/>
      <c r="I646" s="518"/>
      <c r="J646" s="358">
        <v>283274</v>
      </c>
      <c r="K646" s="518">
        <v>289680</v>
      </c>
      <c r="L646" s="517">
        <v>84265</v>
      </c>
      <c r="M646" s="518">
        <v>101078</v>
      </c>
      <c r="N646" s="358">
        <v>290297</v>
      </c>
      <c r="O646" s="518">
        <v>300192</v>
      </c>
      <c r="P646" s="601">
        <f t="shared" si="223"/>
        <v>657836</v>
      </c>
      <c r="Q646" s="602">
        <f t="shared" si="224"/>
        <v>21927.866666666665</v>
      </c>
      <c r="R646" s="603">
        <f t="shared" si="240"/>
        <v>690950</v>
      </c>
      <c r="S646" s="604">
        <f t="shared" si="225"/>
        <v>23031.666666666668</v>
      </c>
      <c r="T646" s="517">
        <v>17759</v>
      </c>
      <c r="U646" s="518">
        <v>20115</v>
      </c>
      <c r="V646" s="601">
        <f t="shared" si="226"/>
        <v>657836</v>
      </c>
      <c r="W646" s="605">
        <f t="shared" si="227"/>
        <v>690950</v>
      </c>
      <c r="X646" s="519"/>
      <c r="Y646" s="518"/>
      <c r="Z646" s="517"/>
      <c r="AA646" s="518"/>
      <c r="AB646" s="517"/>
      <c r="AC646" s="518"/>
      <c r="AD646" s="517"/>
      <c r="AE646" s="518"/>
      <c r="AF646" s="601">
        <f t="shared" si="228"/>
        <v>0</v>
      </c>
      <c r="AG646" s="602">
        <f t="shared" si="229"/>
        <v>0</v>
      </c>
      <c r="AH646" s="603">
        <f t="shared" si="230"/>
        <v>0</v>
      </c>
      <c r="AI646" s="603">
        <f t="shared" si="231"/>
        <v>0</v>
      </c>
      <c r="AJ646" s="517"/>
      <c r="AK646" s="518"/>
      <c r="AL646" s="601">
        <f t="shared" si="232"/>
        <v>0</v>
      </c>
      <c r="AM646" s="604">
        <f t="shared" si="233"/>
        <v>0</v>
      </c>
      <c r="AN646" s="520"/>
      <c r="AO646" s="521"/>
      <c r="AP646" s="517">
        <v>0</v>
      </c>
      <c r="AQ646" s="521">
        <v>0</v>
      </c>
      <c r="AR646" s="517">
        <v>0</v>
      </c>
      <c r="AS646" s="521">
        <v>0</v>
      </c>
      <c r="AT646" s="517">
        <v>0</v>
      </c>
      <c r="AU646" s="521">
        <v>0</v>
      </c>
      <c r="AV646" s="601">
        <f t="shared" si="234"/>
        <v>0</v>
      </c>
      <c r="AW646" s="609">
        <f t="shared" si="235"/>
        <v>0</v>
      </c>
      <c r="AX646" s="603">
        <f t="shared" si="236"/>
        <v>0</v>
      </c>
      <c r="AY646" s="610">
        <f t="shared" si="237"/>
        <v>0</v>
      </c>
      <c r="AZ646" s="611">
        <f t="shared" si="238"/>
        <v>21927.866666666665</v>
      </c>
      <c r="BA646" s="603">
        <f t="shared" si="239"/>
        <v>23031.666666666668</v>
      </c>
    </row>
    <row r="647" spans="1:53">
      <c r="A647" s="522" t="s">
        <v>166</v>
      </c>
      <c r="B647" s="624" t="s">
        <v>863</v>
      </c>
      <c r="C647" s="625"/>
      <c r="D647" s="522">
        <v>231536</v>
      </c>
      <c r="E647" s="529">
        <v>9</v>
      </c>
      <c r="F647" s="515" t="s">
        <v>52</v>
      </c>
      <c r="G647" s="516" t="s">
        <v>52</v>
      </c>
      <c r="H647" s="517"/>
      <c r="I647" s="518"/>
      <c r="J647" s="358">
        <v>40927</v>
      </c>
      <c r="K647" s="518">
        <v>40796</v>
      </c>
      <c r="L647" s="517">
        <v>9331</v>
      </c>
      <c r="M647" s="518">
        <v>10988</v>
      </c>
      <c r="N647" s="358">
        <v>45041</v>
      </c>
      <c r="O647" s="518">
        <v>42740</v>
      </c>
      <c r="P647" s="601">
        <f t="shared" si="223"/>
        <v>95299</v>
      </c>
      <c r="Q647" s="602">
        <f t="shared" si="224"/>
        <v>3176.6333333333332</v>
      </c>
      <c r="R647" s="603">
        <f t="shared" si="240"/>
        <v>94524</v>
      </c>
      <c r="S647" s="604">
        <f t="shared" si="225"/>
        <v>3150.8</v>
      </c>
      <c r="T647" s="517">
        <v>8799</v>
      </c>
      <c r="U647" s="518">
        <v>10679</v>
      </c>
      <c r="V647" s="601">
        <f t="shared" si="226"/>
        <v>95299</v>
      </c>
      <c r="W647" s="605">
        <f t="shared" si="227"/>
        <v>94524</v>
      </c>
      <c r="X647" s="519"/>
      <c r="Y647" s="518"/>
      <c r="Z647" s="517"/>
      <c r="AA647" s="518"/>
      <c r="AB647" s="517"/>
      <c r="AC647" s="518"/>
      <c r="AD647" s="517"/>
      <c r="AE647" s="518"/>
      <c r="AF647" s="601">
        <f t="shared" si="228"/>
        <v>0</v>
      </c>
      <c r="AG647" s="602">
        <f t="shared" si="229"/>
        <v>0</v>
      </c>
      <c r="AH647" s="603">
        <f t="shared" si="230"/>
        <v>0</v>
      </c>
      <c r="AI647" s="603">
        <f t="shared" si="231"/>
        <v>0</v>
      </c>
      <c r="AJ647" s="517"/>
      <c r="AK647" s="518"/>
      <c r="AL647" s="601">
        <f t="shared" si="232"/>
        <v>0</v>
      </c>
      <c r="AM647" s="604">
        <f t="shared" si="233"/>
        <v>0</v>
      </c>
      <c r="AN647" s="520"/>
      <c r="AO647" s="521"/>
      <c r="AP647" s="517">
        <v>0</v>
      </c>
      <c r="AQ647" s="521">
        <v>0</v>
      </c>
      <c r="AR647" s="517">
        <v>0</v>
      </c>
      <c r="AS647" s="521">
        <v>0</v>
      </c>
      <c r="AT647" s="517">
        <v>0</v>
      </c>
      <c r="AU647" s="521">
        <v>0</v>
      </c>
      <c r="AV647" s="601">
        <f t="shared" si="234"/>
        <v>0</v>
      </c>
      <c r="AW647" s="609">
        <f t="shared" si="235"/>
        <v>0</v>
      </c>
      <c r="AX647" s="603">
        <f t="shared" si="236"/>
        <v>0</v>
      </c>
      <c r="AY647" s="610">
        <f t="shared" si="237"/>
        <v>0</v>
      </c>
      <c r="AZ647" s="611">
        <f t="shared" si="238"/>
        <v>3176.6333333333332</v>
      </c>
      <c r="BA647" s="603">
        <f t="shared" si="239"/>
        <v>3150.8</v>
      </c>
    </row>
    <row r="648" spans="1:53">
      <c r="A648" s="522" t="s">
        <v>166</v>
      </c>
      <c r="B648" s="624" t="s">
        <v>864</v>
      </c>
      <c r="C648" s="625"/>
      <c r="D648" s="522">
        <v>231697</v>
      </c>
      <c r="E648" s="529">
        <v>9</v>
      </c>
      <c r="F648" s="515" t="s">
        <v>52</v>
      </c>
      <c r="G648" s="516" t="s">
        <v>52</v>
      </c>
      <c r="H648" s="517"/>
      <c r="I648" s="518"/>
      <c r="J648" s="358">
        <v>36131</v>
      </c>
      <c r="K648" s="518">
        <v>36115</v>
      </c>
      <c r="L648" s="517">
        <v>10151</v>
      </c>
      <c r="M648" s="518">
        <v>10448</v>
      </c>
      <c r="N648" s="358">
        <v>42031</v>
      </c>
      <c r="O648" s="518">
        <v>41438</v>
      </c>
      <c r="P648" s="601">
        <f t="shared" si="223"/>
        <v>88313</v>
      </c>
      <c r="Q648" s="602">
        <f t="shared" si="224"/>
        <v>2943.7666666666669</v>
      </c>
      <c r="R648" s="603">
        <f t="shared" si="240"/>
        <v>88001</v>
      </c>
      <c r="S648" s="604">
        <f t="shared" si="225"/>
        <v>2933.3666666666668</v>
      </c>
      <c r="T648" s="517">
        <v>19301</v>
      </c>
      <c r="U648" s="518">
        <v>26983</v>
      </c>
      <c r="V648" s="601">
        <f t="shared" si="226"/>
        <v>88313</v>
      </c>
      <c r="W648" s="605">
        <f t="shared" si="227"/>
        <v>88001</v>
      </c>
      <c r="X648" s="519"/>
      <c r="Y648" s="518"/>
      <c r="Z648" s="517"/>
      <c r="AA648" s="518"/>
      <c r="AB648" s="517"/>
      <c r="AC648" s="518"/>
      <c r="AD648" s="517"/>
      <c r="AE648" s="518"/>
      <c r="AF648" s="601">
        <f t="shared" si="228"/>
        <v>0</v>
      </c>
      <c r="AG648" s="602">
        <f t="shared" si="229"/>
        <v>0</v>
      </c>
      <c r="AH648" s="603">
        <f t="shared" si="230"/>
        <v>0</v>
      </c>
      <c r="AI648" s="603">
        <f t="shared" si="231"/>
        <v>0</v>
      </c>
      <c r="AJ648" s="517"/>
      <c r="AK648" s="518"/>
      <c r="AL648" s="601">
        <f t="shared" si="232"/>
        <v>0</v>
      </c>
      <c r="AM648" s="604">
        <f t="shared" si="233"/>
        <v>0</v>
      </c>
      <c r="AN648" s="520"/>
      <c r="AO648" s="521"/>
      <c r="AP648" s="517">
        <v>0</v>
      </c>
      <c r="AQ648" s="521">
        <v>0</v>
      </c>
      <c r="AR648" s="517">
        <v>0</v>
      </c>
      <c r="AS648" s="521">
        <v>0</v>
      </c>
      <c r="AT648" s="517">
        <v>0</v>
      </c>
      <c r="AU648" s="521">
        <v>0</v>
      </c>
      <c r="AV648" s="601">
        <f t="shared" si="234"/>
        <v>0</v>
      </c>
      <c r="AW648" s="609">
        <f t="shared" si="235"/>
        <v>0</v>
      </c>
      <c r="AX648" s="603">
        <f t="shared" si="236"/>
        <v>0</v>
      </c>
      <c r="AY648" s="610">
        <f t="shared" si="237"/>
        <v>0</v>
      </c>
      <c r="AZ648" s="611">
        <f t="shared" si="238"/>
        <v>2943.7666666666669</v>
      </c>
      <c r="BA648" s="603">
        <f t="shared" si="239"/>
        <v>2933.3666666666668</v>
      </c>
    </row>
    <row r="649" spans="1:53">
      <c r="A649" s="522" t="s">
        <v>166</v>
      </c>
      <c r="B649" s="624" t="s">
        <v>865</v>
      </c>
      <c r="C649" s="625"/>
      <c r="D649" s="522">
        <v>231882</v>
      </c>
      <c r="E649" s="529">
        <v>9</v>
      </c>
      <c r="F649" s="515" t="s">
        <v>52</v>
      </c>
      <c r="G649" s="516" t="s">
        <v>52</v>
      </c>
      <c r="H649" s="517"/>
      <c r="I649" s="518"/>
      <c r="J649" s="358">
        <v>38408</v>
      </c>
      <c r="K649" s="518">
        <v>37477</v>
      </c>
      <c r="L649" s="517">
        <v>11946</v>
      </c>
      <c r="M649" s="518">
        <v>11377</v>
      </c>
      <c r="N649" s="358">
        <v>38458</v>
      </c>
      <c r="O649" s="518">
        <v>36528</v>
      </c>
      <c r="P649" s="601">
        <f t="shared" si="223"/>
        <v>88812</v>
      </c>
      <c r="Q649" s="602">
        <f t="shared" si="224"/>
        <v>2960.4</v>
      </c>
      <c r="R649" s="603">
        <f t="shared" si="240"/>
        <v>85382</v>
      </c>
      <c r="S649" s="604">
        <f t="shared" si="225"/>
        <v>2846.0666666666666</v>
      </c>
      <c r="T649" s="517">
        <v>18476</v>
      </c>
      <c r="U649" s="518">
        <v>23368</v>
      </c>
      <c r="V649" s="601">
        <f t="shared" si="226"/>
        <v>88812</v>
      </c>
      <c r="W649" s="605">
        <f t="shared" si="227"/>
        <v>85382</v>
      </c>
      <c r="X649" s="519"/>
      <c r="Y649" s="518"/>
      <c r="Z649" s="517"/>
      <c r="AA649" s="518"/>
      <c r="AB649" s="517"/>
      <c r="AC649" s="518"/>
      <c r="AD649" s="517"/>
      <c r="AE649" s="518"/>
      <c r="AF649" s="601">
        <f t="shared" si="228"/>
        <v>0</v>
      </c>
      <c r="AG649" s="602">
        <f t="shared" si="229"/>
        <v>0</v>
      </c>
      <c r="AH649" s="603">
        <f t="shared" si="230"/>
        <v>0</v>
      </c>
      <c r="AI649" s="603">
        <f t="shared" si="231"/>
        <v>0</v>
      </c>
      <c r="AJ649" s="517"/>
      <c r="AK649" s="518"/>
      <c r="AL649" s="601">
        <f t="shared" si="232"/>
        <v>0</v>
      </c>
      <c r="AM649" s="604">
        <f t="shared" si="233"/>
        <v>0</v>
      </c>
      <c r="AN649" s="520"/>
      <c r="AO649" s="521"/>
      <c r="AP649" s="517">
        <v>0</v>
      </c>
      <c r="AQ649" s="521">
        <v>0</v>
      </c>
      <c r="AR649" s="517">
        <v>0</v>
      </c>
      <c r="AS649" s="521">
        <v>0</v>
      </c>
      <c r="AT649" s="517">
        <v>0</v>
      </c>
      <c r="AU649" s="521">
        <v>0</v>
      </c>
      <c r="AV649" s="601">
        <f t="shared" si="234"/>
        <v>0</v>
      </c>
      <c r="AW649" s="609">
        <f t="shared" si="235"/>
        <v>0</v>
      </c>
      <c r="AX649" s="603">
        <f t="shared" si="236"/>
        <v>0</v>
      </c>
      <c r="AY649" s="610">
        <f t="shared" si="237"/>
        <v>0</v>
      </c>
      <c r="AZ649" s="611">
        <f t="shared" si="238"/>
        <v>2960.4</v>
      </c>
      <c r="BA649" s="603">
        <f t="shared" si="239"/>
        <v>2846.0666666666666</v>
      </c>
    </row>
    <row r="650" spans="1:53">
      <c r="A650" s="522" t="s">
        <v>166</v>
      </c>
      <c r="B650" s="624" t="s">
        <v>866</v>
      </c>
      <c r="C650" s="625"/>
      <c r="D650" s="522">
        <v>232195</v>
      </c>
      <c r="E650" s="529">
        <v>9</v>
      </c>
      <c r="F650" s="515" t="s">
        <v>52</v>
      </c>
      <c r="G650" s="516" t="s">
        <v>52</v>
      </c>
      <c r="H650" s="517"/>
      <c r="I650" s="518"/>
      <c r="J650" s="358">
        <v>54691</v>
      </c>
      <c r="K650" s="518">
        <v>58341</v>
      </c>
      <c r="L650" s="517">
        <v>13904</v>
      </c>
      <c r="M650" s="518">
        <v>15767</v>
      </c>
      <c r="N650" s="358">
        <v>63362</v>
      </c>
      <c r="O650" s="518">
        <v>65793</v>
      </c>
      <c r="P650" s="601">
        <f t="shared" si="223"/>
        <v>131957</v>
      </c>
      <c r="Q650" s="602">
        <f t="shared" si="224"/>
        <v>4398.5666666666666</v>
      </c>
      <c r="R650" s="603">
        <f t="shared" si="240"/>
        <v>139901</v>
      </c>
      <c r="S650" s="604">
        <f t="shared" si="225"/>
        <v>4663.3666666666668</v>
      </c>
      <c r="T650" s="517">
        <v>15081</v>
      </c>
      <c r="U650" s="518">
        <v>19212</v>
      </c>
      <c r="V650" s="601">
        <f t="shared" si="226"/>
        <v>131957</v>
      </c>
      <c r="W650" s="605">
        <f t="shared" si="227"/>
        <v>139901</v>
      </c>
      <c r="X650" s="519"/>
      <c r="Y650" s="518"/>
      <c r="Z650" s="517"/>
      <c r="AA650" s="518"/>
      <c r="AB650" s="517"/>
      <c r="AC650" s="518"/>
      <c r="AD650" s="517"/>
      <c r="AE650" s="518"/>
      <c r="AF650" s="601">
        <f t="shared" si="228"/>
        <v>0</v>
      </c>
      <c r="AG650" s="602">
        <f t="shared" si="229"/>
        <v>0</v>
      </c>
      <c r="AH650" s="603">
        <f t="shared" si="230"/>
        <v>0</v>
      </c>
      <c r="AI650" s="603">
        <f t="shared" si="231"/>
        <v>0</v>
      </c>
      <c r="AJ650" s="517"/>
      <c r="AK650" s="518"/>
      <c r="AL650" s="601">
        <f t="shared" si="232"/>
        <v>0</v>
      </c>
      <c r="AM650" s="604">
        <f t="shared" si="233"/>
        <v>0</v>
      </c>
      <c r="AN650" s="520"/>
      <c r="AO650" s="521"/>
      <c r="AP650" s="517">
        <v>0</v>
      </c>
      <c r="AQ650" s="521">
        <v>0</v>
      </c>
      <c r="AR650" s="517">
        <v>0</v>
      </c>
      <c r="AS650" s="521">
        <v>0</v>
      </c>
      <c r="AT650" s="517">
        <v>0</v>
      </c>
      <c r="AU650" s="521">
        <v>0</v>
      </c>
      <c r="AV650" s="601">
        <f t="shared" si="234"/>
        <v>0</v>
      </c>
      <c r="AW650" s="609">
        <f t="shared" si="235"/>
        <v>0</v>
      </c>
      <c r="AX650" s="603">
        <f t="shared" si="236"/>
        <v>0</v>
      </c>
      <c r="AY650" s="610">
        <f t="shared" si="237"/>
        <v>0</v>
      </c>
      <c r="AZ650" s="611">
        <f t="shared" si="238"/>
        <v>4398.5666666666666</v>
      </c>
      <c r="BA650" s="603">
        <f t="shared" si="239"/>
        <v>4663.3666666666668</v>
      </c>
    </row>
    <row r="651" spans="1:53">
      <c r="A651" s="522" t="s">
        <v>166</v>
      </c>
      <c r="B651" s="624" t="s">
        <v>867</v>
      </c>
      <c r="C651" s="625" t="s">
        <v>843</v>
      </c>
      <c r="D651" s="522">
        <v>232450</v>
      </c>
      <c r="E651" s="529">
        <v>9</v>
      </c>
      <c r="F651" s="515" t="s">
        <v>52</v>
      </c>
      <c r="G651" s="516" t="s">
        <v>52</v>
      </c>
      <c r="H651" s="517"/>
      <c r="I651" s="518"/>
      <c r="J651" s="358">
        <v>76586</v>
      </c>
      <c r="K651" s="518">
        <v>79717</v>
      </c>
      <c r="L651" s="517">
        <v>19164</v>
      </c>
      <c r="M651" s="518">
        <v>23115</v>
      </c>
      <c r="N651" s="358">
        <v>85824</v>
      </c>
      <c r="O651" s="518">
        <v>87506</v>
      </c>
      <c r="P651" s="601">
        <f t="shared" si="223"/>
        <v>181574</v>
      </c>
      <c r="Q651" s="602">
        <f t="shared" si="224"/>
        <v>6052.4666666666662</v>
      </c>
      <c r="R651" s="603">
        <f t="shared" si="240"/>
        <v>190338</v>
      </c>
      <c r="S651" s="604">
        <f t="shared" si="225"/>
        <v>6344.6</v>
      </c>
      <c r="T651" s="517">
        <v>31806</v>
      </c>
      <c r="U651" s="518">
        <v>43654</v>
      </c>
      <c r="V651" s="601">
        <f t="shared" si="226"/>
        <v>181574</v>
      </c>
      <c r="W651" s="605">
        <f t="shared" si="227"/>
        <v>190338</v>
      </c>
      <c r="X651" s="519"/>
      <c r="Y651" s="518"/>
      <c r="Z651" s="517"/>
      <c r="AA651" s="518"/>
      <c r="AB651" s="517"/>
      <c r="AC651" s="518"/>
      <c r="AD651" s="517"/>
      <c r="AE651" s="518"/>
      <c r="AF651" s="601">
        <f t="shared" si="228"/>
        <v>0</v>
      </c>
      <c r="AG651" s="602">
        <f t="shared" si="229"/>
        <v>0</v>
      </c>
      <c r="AH651" s="603">
        <f t="shared" si="230"/>
        <v>0</v>
      </c>
      <c r="AI651" s="603">
        <f t="shared" si="231"/>
        <v>0</v>
      </c>
      <c r="AJ651" s="517"/>
      <c r="AK651" s="518"/>
      <c r="AL651" s="601">
        <f t="shared" si="232"/>
        <v>0</v>
      </c>
      <c r="AM651" s="604">
        <f t="shared" si="233"/>
        <v>0</v>
      </c>
      <c r="AN651" s="520"/>
      <c r="AO651" s="521"/>
      <c r="AP651" s="517">
        <v>0</v>
      </c>
      <c r="AQ651" s="521">
        <v>0</v>
      </c>
      <c r="AR651" s="517">
        <v>0</v>
      </c>
      <c r="AS651" s="521">
        <v>0</v>
      </c>
      <c r="AT651" s="517">
        <v>0</v>
      </c>
      <c r="AU651" s="521">
        <v>0</v>
      </c>
      <c r="AV651" s="601">
        <f t="shared" si="234"/>
        <v>0</v>
      </c>
      <c r="AW651" s="609">
        <f t="shared" si="235"/>
        <v>0</v>
      </c>
      <c r="AX651" s="603">
        <f t="shared" si="236"/>
        <v>0</v>
      </c>
      <c r="AY651" s="610">
        <f t="shared" si="237"/>
        <v>0</v>
      </c>
      <c r="AZ651" s="611">
        <f t="shared" si="238"/>
        <v>6052.4666666666662</v>
      </c>
      <c r="BA651" s="603">
        <f t="shared" si="239"/>
        <v>6344.6</v>
      </c>
    </row>
    <row r="652" spans="1:53">
      <c r="A652" s="522" t="s">
        <v>166</v>
      </c>
      <c r="B652" s="624" t="s">
        <v>868</v>
      </c>
      <c r="C652" s="625"/>
      <c r="D652" s="522">
        <v>232575</v>
      </c>
      <c r="E652" s="529">
        <v>9</v>
      </c>
      <c r="F652" s="515" t="s">
        <v>52</v>
      </c>
      <c r="G652" s="516" t="s">
        <v>52</v>
      </c>
      <c r="H652" s="517"/>
      <c r="I652" s="518"/>
      <c r="J652" s="358">
        <v>48497</v>
      </c>
      <c r="K652" s="518">
        <v>50883</v>
      </c>
      <c r="L652" s="517">
        <v>12054</v>
      </c>
      <c r="M652" s="518">
        <v>13294</v>
      </c>
      <c r="N652" s="358">
        <v>57193</v>
      </c>
      <c r="O652" s="518">
        <v>59746</v>
      </c>
      <c r="P652" s="601">
        <f t="shared" si="223"/>
        <v>117744</v>
      </c>
      <c r="Q652" s="602">
        <f t="shared" si="224"/>
        <v>3924.8</v>
      </c>
      <c r="R652" s="603">
        <f t="shared" si="240"/>
        <v>123923</v>
      </c>
      <c r="S652" s="604">
        <f t="shared" si="225"/>
        <v>4130.7666666666664</v>
      </c>
      <c r="T652" s="517">
        <v>28078</v>
      </c>
      <c r="U652" s="518">
        <v>39380</v>
      </c>
      <c r="V652" s="601">
        <f t="shared" si="226"/>
        <v>117744</v>
      </c>
      <c r="W652" s="605">
        <f t="shared" si="227"/>
        <v>123923</v>
      </c>
      <c r="X652" s="519"/>
      <c r="Y652" s="518"/>
      <c r="Z652" s="517"/>
      <c r="AA652" s="518"/>
      <c r="AB652" s="517"/>
      <c r="AC652" s="518"/>
      <c r="AD652" s="517"/>
      <c r="AE652" s="518"/>
      <c r="AF652" s="601">
        <f t="shared" si="228"/>
        <v>0</v>
      </c>
      <c r="AG652" s="602">
        <f t="shared" si="229"/>
        <v>0</v>
      </c>
      <c r="AH652" s="603">
        <f t="shared" si="230"/>
        <v>0</v>
      </c>
      <c r="AI652" s="603">
        <f t="shared" si="231"/>
        <v>0</v>
      </c>
      <c r="AJ652" s="517"/>
      <c r="AK652" s="518"/>
      <c r="AL652" s="601">
        <f t="shared" si="232"/>
        <v>0</v>
      </c>
      <c r="AM652" s="604">
        <f t="shared" si="233"/>
        <v>0</v>
      </c>
      <c r="AN652" s="520"/>
      <c r="AO652" s="521"/>
      <c r="AP652" s="517">
        <v>0</v>
      </c>
      <c r="AQ652" s="521">
        <v>0</v>
      </c>
      <c r="AR652" s="517">
        <v>0</v>
      </c>
      <c r="AS652" s="521">
        <v>0</v>
      </c>
      <c r="AT652" s="517">
        <v>0</v>
      </c>
      <c r="AU652" s="521">
        <v>0</v>
      </c>
      <c r="AV652" s="601">
        <f t="shared" si="234"/>
        <v>0</v>
      </c>
      <c r="AW652" s="609">
        <f t="shared" si="235"/>
        <v>0</v>
      </c>
      <c r="AX652" s="603">
        <f t="shared" si="236"/>
        <v>0</v>
      </c>
      <c r="AY652" s="610">
        <f t="shared" si="237"/>
        <v>0</v>
      </c>
      <c r="AZ652" s="611">
        <f t="shared" si="238"/>
        <v>3924.8</v>
      </c>
      <c r="BA652" s="603">
        <f t="shared" si="239"/>
        <v>4130.7666666666664</v>
      </c>
    </row>
    <row r="653" spans="1:53">
      <c r="A653" s="522" t="s">
        <v>166</v>
      </c>
      <c r="B653" s="624" t="s">
        <v>869</v>
      </c>
      <c r="C653" s="625"/>
      <c r="D653" s="522">
        <v>232867</v>
      </c>
      <c r="E653" s="529">
        <v>9</v>
      </c>
      <c r="F653" s="515" t="s">
        <v>52</v>
      </c>
      <c r="G653" s="516" t="s">
        <v>52</v>
      </c>
      <c r="H653" s="517"/>
      <c r="I653" s="518"/>
      <c r="J653" s="358">
        <v>46352</v>
      </c>
      <c r="K653" s="518">
        <v>43252</v>
      </c>
      <c r="L653" s="517">
        <v>10131</v>
      </c>
      <c r="M653" s="518">
        <v>11555</v>
      </c>
      <c r="N653" s="358">
        <v>44692</v>
      </c>
      <c r="O653" s="518">
        <v>45359</v>
      </c>
      <c r="P653" s="601">
        <f t="shared" si="223"/>
        <v>101175</v>
      </c>
      <c r="Q653" s="602">
        <f t="shared" si="224"/>
        <v>3372.5</v>
      </c>
      <c r="R653" s="603">
        <f t="shared" si="240"/>
        <v>100166</v>
      </c>
      <c r="S653" s="604">
        <f t="shared" si="225"/>
        <v>3338.8666666666668</v>
      </c>
      <c r="T653" s="517">
        <v>20048</v>
      </c>
      <c r="U653" s="518">
        <v>26689</v>
      </c>
      <c r="V653" s="601">
        <f t="shared" si="226"/>
        <v>101175</v>
      </c>
      <c r="W653" s="605">
        <f t="shared" si="227"/>
        <v>100166</v>
      </c>
      <c r="X653" s="519"/>
      <c r="Y653" s="518"/>
      <c r="Z653" s="517"/>
      <c r="AA653" s="518"/>
      <c r="AB653" s="517"/>
      <c r="AC653" s="518"/>
      <c r="AD653" s="517"/>
      <c r="AE653" s="518"/>
      <c r="AF653" s="601">
        <f t="shared" si="228"/>
        <v>0</v>
      </c>
      <c r="AG653" s="602">
        <f t="shared" si="229"/>
        <v>0</v>
      </c>
      <c r="AH653" s="603">
        <f t="shared" si="230"/>
        <v>0</v>
      </c>
      <c r="AI653" s="603">
        <f t="shared" si="231"/>
        <v>0</v>
      </c>
      <c r="AJ653" s="517"/>
      <c r="AK653" s="518"/>
      <c r="AL653" s="601">
        <f t="shared" si="232"/>
        <v>0</v>
      </c>
      <c r="AM653" s="604">
        <f t="shared" si="233"/>
        <v>0</v>
      </c>
      <c r="AN653" s="520"/>
      <c r="AO653" s="521"/>
      <c r="AP653" s="517">
        <v>0</v>
      </c>
      <c r="AQ653" s="521">
        <v>0</v>
      </c>
      <c r="AR653" s="517">
        <v>0</v>
      </c>
      <c r="AS653" s="521">
        <v>0</v>
      </c>
      <c r="AT653" s="517">
        <v>0</v>
      </c>
      <c r="AU653" s="521">
        <v>0</v>
      </c>
      <c r="AV653" s="601">
        <f t="shared" si="234"/>
        <v>0</v>
      </c>
      <c r="AW653" s="609">
        <f t="shared" si="235"/>
        <v>0</v>
      </c>
      <c r="AX653" s="603">
        <f t="shared" si="236"/>
        <v>0</v>
      </c>
      <c r="AY653" s="610">
        <f t="shared" si="237"/>
        <v>0</v>
      </c>
      <c r="AZ653" s="611">
        <f t="shared" si="238"/>
        <v>3372.5</v>
      </c>
      <c r="BA653" s="603">
        <f t="shared" si="239"/>
        <v>3338.8666666666668</v>
      </c>
    </row>
    <row r="654" spans="1:53">
      <c r="A654" s="522" t="s">
        <v>166</v>
      </c>
      <c r="B654" s="624" t="s">
        <v>877</v>
      </c>
      <c r="C654" s="625" t="s">
        <v>888</v>
      </c>
      <c r="D654" s="522">
        <v>233019</v>
      </c>
      <c r="E654" s="618">
        <v>9</v>
      </c>
      <c r="F654" s="515" t="s">
        <v>52</v>
      </c>
      <c r="G654" s="516" t="s">
        <v>52</v>
      </c>
      <c r="H654" s="517"/>
      <c r="I654" s="518"/>
      <c r="J654" s="358">
        <v>33689</v>
      </c>
      <c r="K654" s="518">
        <v>31372</v>
      </c>
      <c r="L654" s="517">
        <v>9613</v>
      </c>
      <c r="M654" s="518">
        <v>10053</v>
      </c>
      <c r="N654" s="358">
        <v>32945</v>
      </c>
      <c r="O654" s="518">
        <v>33634</v>
      </c>
      <c r="P654" s="601">
        <f t="shared" si="223"/>
        <v>76247</v>
      </c>
      <c r="Q654" s="602">
        <f t="shared" si="224"/>
        <v>2541.5666666666666</v>
      </c>
      <c r="R654" s="603">
        <f t="shared" si="240"/>
        <v>75059</v>
      </c>
      <c r="S654" s="604">
        <f t="shared" si="225"/>
        <v>2501.9666666666667</v>
      </c>
      <c r="T654" s="517">
        <v>18414</v>
      </c>
      <c r="U654" s="518">
        <v>20496</v>
      </c>
      <c r="V654" s="601">
        <f t="shared" si="226"/>
        <v>76247</v>
      </c>
      <c r="W654" s="605">
        <f t="shared" si="227"/>
        <v>75059</v>
      </c>
      <c r="X654" s="519"/>
      <c r="Y654" s="518"/>
      <c r="Z654" s="517"/>
      <c r="AA654" s="518"/>
      <c r="AB654" s="517"/>
      <c r="AC654" s="518"/>
      <c r="AD654" s="517"/>
      <c r="AE654" s="518"/>
      <c r="AF654" s="601">
        <f t="shared" si="228"/>
        <v>0</v>
      </c>
      <c r="AG654" s="602">
        <f t="shared" si="229"/>
        <v>0</v>
      </c>
      <c r="AH654" s="603">
        <f t="shared" si="230"/>
        <v>0</v>
      </c>
      <c r="AI654" s="603">
        <f t="shared" si="231"/>
        <v>0</v>
      </c>
      <c r="AJ654" s="517"/>
      <c r="AK654" s="518"/>
      <c r="AL654" s="601">
        <f t="shared" si="232"/>
        <v>0</v>
      </c>
      <c r="AM654" s="604">
        <f t="shared" si="233"/>
        <v>0</v>
      </c>
      <c r="AN654" s="520"/>
      <c r="AO654" s="521"/>
      <c r="AP654" s="517">
        <v>0</v>
      </c>
      <c r="AQ654" s="521">
        <v>0</v>
      </c>
      <c r="AR654" s="517">
        <v>0</v>
      </c>
      <c r="AS654" s="521">
        <v>0</v>
      </c>
      <c r="AT654" s="517">
        <v>0</v>
      </c>
      <c r="AU654" s="521">
        <v>0</v>
      </c>
      <c r="AV654" s="601">
        <f t="shared" si="234"/>
        <v>0</v>
      </c>
      <c r="AW654" s="609">
        <f t="shared" si="235"/>
        <v>0</v>
      </c>
      <c r="AX654" s="603">
        <f t="shared" si="236"/>
        <v>0</v>
      </c>
      <c r="AY654" s="610">
        <f t="shared" si="237"/>
        <v>0</v>
      </c>
      <c r="AZ654" s="611">
        <f t="shared" si="238"/>
        <v>2541.5666666666666</v>
      </c>
      <c r="BA654" s="603">
        <f t="shared" si="239"/>
        <v>2501.9666666666667</v>
      </c>
    </row>
    <row r="655" spans="1:53">
      <c r="A655" s="522" t="s">
        <v>166</v>
      </c>
      <c r="B655" s="624" t="s">
        <v>870</v>
      </c>
      <c r="C655" s="625"/>
      <c r="D655" s="522">
        <v>233116</v>
      </c>
      <c r="E655" s="529">
        <v>9</v>
      </c>
      <c r="F655" s="515" t="s">
        <v>52</v>
      </c>
      <c r="G655" s="516" t="s">
        <v>52</v>
      </c>
      <c r="H655" s="517"/>
      <c r="I655" s="518"/>
      <c r="J655" s="358">
        <v>37623</v>
      </c>
      <c r="K655" s="518">
        <v>40280</v>
      </c>
      <c r="L655" s="517">
        <v>8842</v>
      </c>
      <c r="M655" s="518">
        <v>9578</v>
      </c>
      <c r="N655" s="358">
        <v>41898</v>
      </c>
      <c r="O655" s="518">
        <v>41772</v>
      </c>
      <c r="P655" s="601">
        <f t="shared" si="223"/>
        <v>88363</v>
      </c>
      <c r="Q655" s="602">
        <f t="shared" si="224"/>
        <v>2945.4333333333334</v>
      </c>
      <c r="R655" s="603">
        <f t="shared" si="240"/>
        <v>91630</v>
      </c>
      <c r="S655" s="604">
        <f t="shared" si="225"/>
        <v>3054.3333333333335</v>
      </c>
      <c r="T655" s="517">
        <v>18025</v>
      </c>
      <c r="U655" s="518">
        <v>23669</v>
      </c>
      <c r="V655" s="601">
        <f t="shared" si="226"/>
        <v>88363</v>
      </c>
      <c r="W655" s="605">
        <f t="shared" si="227"/>
        <v>91630</v>
      </c>
      <c r="X655" s="519"/>
      <c r="Y655" s="518"/>
      <c r="Z655" s="517"/>
      <c r="AA655" s="518"/>
      <c r="AB655" s="517"/>
      <c r="AC655" s="518"/>
      <c r="AD655" s="517"/>
      <c r="AE655" s="518"/>
      <c r="AF655" s="601">
        <f t="shared" si="228"/>
        <v>0</v>
      </c>
      <c r="AG655" s="602">
        <f t="shared" si="229"/>
        <v>0</v>
      </c>
      <c r="AH655" s="603">
        <f t="shared" si="230"/>
        <v>0</v>
      </c>
      <c r="AI655" s="603">
        <f t="shared" si="231"/>
        <v>0</v>
      </c>
      <c r="AJ655" s="517"/>
      <c r="AK655" s="518"/>
      <c r="AL655" s="601">
        <f t="shared" si="232"/>
        <v>0</v>
      </c>
      <c r="AM655" s="604">
        <f t="shared" si="233"/>
        <v>0</v>
      </c>
      <c r="AN655" s="520"/>
      <c r="AO655" s="521"/>
      <c r="AP655" s="517">
        <v>0</v>
      </c>
      <c r="AQ655" s="521">
        <v>0</v>
      </c>
      <c r="AR655" s="517">
        <v>0</v>
      </c>
      <c r="AS655" s="521">
        <v>0</v>
      </c>
      <c r="AT655" s="517">
        <v>0</v>
      </c>
      <c r="AU655" s="521">
        <v>0</v>
      </c>
      <c r="AV655" s="601">
        <f t="shared" si="234"/>
        <v>0</v>
      </c>
      <c r="AW655" s="609">
        <f t="shared" si="235"/>
        <v>0</v>
      </c>
      <c r="AX655" s="603">
        <f t="shared" si="236"/>
        <v>0</v>
      </c>
      <c r="AY655" s="610">
        <f t="shared" si="237"/>
        <v>0</v>
      </c>
      <c r="AZ655" s="611">
        <f t="shared" si="238"/>
        <v>2945.4333333333334</v>
      </c>
      <c r="BA655" s="603">
        <f t="shared" si="239"/>
        <v>3054.3333333333335</v>
      </c>
    </row>
    <row r="656" spans="1:53">
      <c r="A656" s="522" t="s">
        <v>166</v>
      </c>
      <c r="B656" s="624" t="s">
        <v>871</v>
      </c>
      <c r="C656" s="625"/>
      <c r="D656" s="522">
        <v>233639</v>
      </c>
      <c r="E656" s="529">
        <v>9</v>
      </c>
      <c r="F656" s="515" t="s">
        <v>52</v>
      </c>
      <c r="G656" s="516" t="s">
        <v>52</v>
      </c>
      <c r="H656" s="517"/>
      <c r="I656" s="518"/>
      <c r="J656" s="358">
        <v>49019</v>
      </c>
      <c r="K656" s="518">
        <v>49468</v>
      </c>
      <c r="L656" s="517">
        <v>14093</v>
      </c>
      <c r="M656" s="518">
        <v>15851</v>
      </c>
      <c r="N656" s="358">
        <v>52501</v>
      </c>
      <c r="O656" s="518">
        <v>54965</v>
      </c>
      <c r="P656" s="601">
        <f t="shared" si="223"/>
        <v>115613</v>
      </c>
      <c r="Q656" s="602">
        <f t="shared" si="224"/>
        <v>3853.7666666666669</v>
      </c>
      <c r="R656" s="603">
        <f t="shared" si="240"/>
        <v>120284</v>
      </c>
      <c r="S656" s="604">
        <f t="shared" si="225"/>
        <v>4009.4666666666667</v>
      </c>
      <c r="T656" s="517">
        <v>41208</v>
      </c>
      <c r="U656" s="518">
        <v>56952</v>
      </c>
      <c r="V656" s="601">
        <f t="shared" si="226"/>
        <v>115613</v>
      </c>
      <c r="W656" s="605">
        <f t="shared" si="227"/>
        <v>120284</v>
      </c>
      <c r="X656" s="519"/>
      <c r="Y656" s="518"/>
      <c r="Z656" s="517"/>
      <c r="AA656" s="518"/>
      <c r="AB656" s="517"/>
      <c r="AC656" s="518"/>
      <c r="AD656" s="517"/>
      <c r="AE656" s="518"/>
      <c r="AF656" s="601">
        <f t="shared" si="228"/>
        <v>0</v>
      </c>
      <c r="AG656" s="602">
        <f t="shared" si="229"/>
        <v>0</v>
      </c>
      <c r="AH656" s="603">
        <f t="shared" si="230"/>
        <v>0</v>
      </c>
      <c r="AI656" s="603">
        <f t="shared" si="231"/>
        <v>0</v>
      </c>
      <c r="AJ656" s="517"/>
      <c r="AK656" s="518"/>
      <c r="AL656" s="601">
        <f t="shared" si="232"/>
        <v>0</v>
      </c>
      <c r="AM656" s="604">
        <f t="shared" si="233"/>
        <v>0</v>
      </c>
      <c r="AN656" s="520"/>
      <c r="AO656" s="521"/>
      <c r="AP656" s="517">
        <v>0</v>
      </c>
      <c r="AQ656" s="521">
        <v>0</v>
      </c>
      <c r="AR656" s="517">
        <v>0</v>
      </c>
      <c r="AS656" s="521">
        <v>0</v>
      </c>
      <c r="AT656" s="517">
        <v>0</v>
      </c>
      <c r="AU656" s="521">
        <v>0</v>
      </c>
      <c r="AV656" s="601">
        <f t="shared" si="234"/>
        <v>0</v>
      </c>
      <c r="AW656" s="609">
        <f t="shared" si="235"/>
        <v>0</v>
      </c>
      <c r="AX656" s="603">
        <f t="shared" si="236"/>
        <v>0</v>
      </c>
      <c r="AY656" s="610">
        <f t="shared" si="237"/>
        <v>0</v>
      </c>
      <c r="AZ656" s="611">
        <f t="shared" si="238"/>
        <v>3853.7666666666669</v>
      </c>
      <c r="BA656" s="603">
        <f t="shared" si="239"/>
        <v>4009.4666666666667</v>
      </c>
    </row>
    <row r="657" spans="1:53">
      <c r="A657" s="522" t="s">
        <v>166</v>
      </c>
      <c r="B657" s="624" t="s">
        <v>872</v>
      </c>
      <c r="C657" s="625"/>
      <c r="D657" s="522">
        <v>233648</v>
      </c>
      <c r="E657" s="529">
        <v>9</v>
      </c>
      <c r="F657" s="515" t="s">
        <v>52</v>
      </c>
      <c r="G657" s="516" t="s">
        <v>52</v>
      </c>
      <c r="H657" s="517"/>
      <c r="I657" s="518"/>
      <c r="J657" s="358">
        <v>30522</v>
      </c>
      <c r="K657" s="518">
        <v>28095</v>
      </c>
      <c r="L657" s="517">
        <v>12046</v>
      </c>
      <c r="M657" s="518">
        <v>9907</v>
      </c>
      <c r="N657" s="358">
        <v>32577</v>
      </c>
      <c r="O657" s="518">
        <v>28828</v>
      </c>
      <c r="P657" s="601">
        <f t="shared" si="223"/>
        <v>75145</v>
      </c>
      <c r="Q657" s="602">
        <f t="shared" si="224"/>
        <v>2504.8333333333335</v>
      </c>
      <c r="R657" s="603">
        <f t="shared" si="240"/>
        <v>66830</v>
      </c>
      <c r="S657" s="604">
        <f t="shared" si="225"/>
        <v>2227.6666666666665</v>
      </c>
      <c r="T657" s="517">
        <v>14191</v>
      </c>
      <c r="U657" s="518">
        <v>20545</v>
      </c>
      <c r="V657" s="601">
        <f t="shared" si="226"/>
        <v>75145</v>
      </c>
      <c r="W657" s="605">
        <f t="shared" si="227"/>
        <v>66830</v>
      </c>
      <c r="X657" s="519"/>
      <c r="Y657" s="518"/>
      <c r="Z657" s="517"/>
      <c r="AA657" s="518"/>
      <c r="AB657" s="517"/>
      <c r="AC657" s="518"/>
      <c r="AD657" s="517"/>
      <c r="AE657" s="518"/>
      <c r="AF657" s="601">
        <f t="shared" si="228"/>
        <v>0</v>
      </c>
      <c r="AG657" s="602">
        <f t="shared" si="229"/>
        <v>0</v>
      </c>
      <c r="AH657" s="603">
        <f t="shared" si="230"/>
        <v>0</v>
      </c>
      <c r="AI657" s="603">
        <f t="shared" si="231"/>
        <v>0</v>
      </c>
      <c r="AJ657" s="517"/>
      <c r="AK657" s="518"/>
      <c r="AL657" s="601">
        <f t="shared" si="232"/>
        <v>0</v>
      </c>
      <c r="AM657" s="604">
        <f t="shared" si="233"/>
        <v>0</v>
      </c>
      <c r="AN657" s="520"/>
      <c r="AO657" s="521"/>
      <c r="AP657" s="517">
        <v>0</v>
      </c>
      <c r="AQ657" s="521">
        <v>0</v>
      </c>
      <c r="AR657" s="517">
        <v>0</v>
      </c>
      <c r="AS657" s="521">
        <v>0</v>
      </c>
      <c r="AT657" s="517">
        <v>0</v>
      </c>
      <c r="AU657" s="521">
        <v>0</v>
      </c>
      <c r="AV657" s="601">
        <f t="shared" si="234"/>
        <v>0</v>
      </c>
      <c r="AW657" s="609">
        <f t="shared" si="235"/>
        <v>0</v>
      </c>
      <c r="AX657" s="603">
        <f t="shared" si="236"/>
        <v>0</v>
      </c>
      <c r="AY657" s="610">
        <f t="shared" si="237"/>
        <v>0</v>
      </c>
      <c r="AZ657" s="611">
        <f t="shared" si="238"/>
        <v>2504.8333333333335</v>
      </c>
      <c r="BA657" s="603">
        <f t="shared" si="239"/>
        <v>2227.6666666666665</v>
      </c>
    </row>
    <row r="658" spans="1:53">
      <c r="A658" s="522" t="s">
        <v>166</v>
      </c>
      <c r="B658" s="624" t="s">
        <v>873</v>
      </c>
      <c r="C658" s="625"/>
      <c r="D658" s="522">
        <v>233949</v>
      </c>
      <c r="E658" s="529">
        <v>9</v>
      </c>
      <c r="F658" s="515" t="s">
        <v>52</v>
      </c>
      <c r="G658" s="516" t="s">
        <v>52</v>
      </c>
      <c r="H658" s="517"/>
      <c r="I658" s="518"/>
      <c r="J658" s="358">
        <v>63846</v>
      </c>
      <c r="K658" s="518">
        <v>64855</v>
      </c>
      <c r="L658" s="517">
        <v>15843</v>
      </c>
      <c r="M658" s="518">
        <v>16210</v>
      </c>
      <c r="N658" s="358">
        <v>68163</v>
      </c>
      <c r="O658" s="518">
        <v>66680</v>
      </c>
      <c r="P658" s="601">
        <f t="shared" si="223"/>
        <v>147852</v>
      </c>
      <c r="Q658" s="602">
        <f t="shared" si="224"/>
        <v>4928.3999999999996</v>
      </c>
      <c r="R658" s="603">
        <f t="shared" si="240"/>
        <v>147745</v>
      </c>
      <c r="S658" s="604">
        <f t="shared" si="225"/>
        <v>4924.833333333333</v>
      </c>
      <c r="T658" s="517">
        <v>28671</v>
      </c>
      <c r="U658" s="518">
        <v>36689</v>
      </c>
      <c r="V658" s="601">
        <f t="shared" si="226"/>
        <v>147852</v>
      </c>
      <c r="W658" s="605">
        <f t="shared" si="227"/>
        <v>147745</v>
      </c>
      <c r="X658" s="519"/>
      <c r="Y658" s="518"/>
      <c r="Z658" s="517"/>
      <c r="AA658" s="518"/>
      <c r="AB658" s="517"/>
      <c r="AC658" s="518"/>
      <c r="AD658" s="517"/>
      <c r="AE658" s="518"/>
      <c r="AF658" s="601">
        <f t="shared" si="228"/>
        <v>0</v>
      </c>
      <c r="AG658" s="602">
        <f t="shared" si="229"/>
        <v>0</v>
      </c>
      <c r="AH658" s="603">
        <f t="shared" si="230"/>
        <v>0</v>
      </c>
      <c r="AI658" s="603">
        <f t="shared" si="231"/>
        <v>0</v>
      </c>
      <c r="AJ658" s="517"/>
      <c r="AK658" s="518"/>
      <c r="AL658" s="601">
        <f t="shared" si="232"/>
        <v>0</v>
      </c>
      <c r="AM658" s="604">
        <f t="shared" si="233"/>
        <v>0</v>
      </c>
      <c r="AN658" s="520"/>
      <c r="AO658" s="521"/>
      <c r="AP658" s="517">
        <v>0</v>
      </c>
      <c r="AQ658" s="521">
        <v>0</v>
      </c>
      <c r="AR658" s="517">
        <v>0</v>
      </c>
      <c r="AS658" s="521">
        <v>0</v>
      </c>
      <c r="AT658" s="517">
        <v>0</v>
      </c>
      <c r="AU658" s="521">
        <v>0</v>
      </c>
      <c r="AV658" s="601">
        <f t="shared" si="234"/>
        <v>0</v>
      </c>
      <c r="AW658" s="609">
        <f t="shared" si="235"/>
        <v>0</v>
      </c>
      <c r="AX658" s="603">
        <f t="shared" si="236"/>
        <v>0</v>
      </c>
      <c r="AY658" s="610">
        <f t="shared" si="237"/>
        <v>0</v>
      </c>
      <c r="AZ658" s="611">
        <f t="shared" si="238"/>
        <v>4928.3999999999996</v>
      </c>
      <c r="BA658" s="603">
        <f t="shared" si="239"/>
        <v>4924.833333333333</v>
      </c>
    </row>
    <row r="659" spans="1:53">
      <c r="A659" s="522" t="s">
        <v>166</v>
      </c>
      <c r="B659" s="624" t="s">
        <v>882</v>
      </c>
      <c r="C659" s="625" t="s">
        <v>888</v>
      </c>
      <c r="D659" s="522">
        <v>234377</v>
      </c>
      <c r="E659" s="618">
        <v>9</v>
      </c>
      <c r="F659" s="515" t="s">
        <v>52</v>
      </c>
      <c r="G659" s="516" t="s">
        <v>52</v>
      </c>
      <c r="H659" s="517"/>
      <c r="I659" s="518"/>
      <c r="J659" s="358">
        <v>30836</v>
      </c>
      <c r="K659" s="518">
        <v>30591</v>
      </c>
      <c r="L659" s="517">
        <v>10206</v>
      </c>
      <c r="M659" s="518">
        <v>11004</v>
      </c>
      <c r="N659" s="358">
        <v>33082</v>
      </c>
      <c r="O659" s="518">
        <v>31021</v>
      </c>
      <c r="P659" s="601">
        <f t="shared" si="223"/>
        <v>74124</v>
      </c>
      <c r="Q659" s="602">
        <f t="shared" si="224"/>
        <v>2470.8000000000002</v>
      </c>
      <c r="R659" s="603">
        <f t="shared" si="240"/>
        <v>72616</v>
      </c>
      <c r="S659" s="604">
        <f t="shared" si="225"/>
        <v>2420.5333333333333</v>
      </c>
      <c r="T659" s="517">
        <v>17093</v>
      </c>
      <c r="U659" s="518">
        <v>22857</v>
      </c>
      <c r="V659" s="601">
        <f t="shared" si="226"/>
        <v>74124</v>
      </c>
      <c r="W659" s="605">
        <f t="shared" si="227"/>
        <v>72616</v>
      </c>
      <c r="X659" s="519"/>
      <c r="Y659" s="518"/>
      <c r="Z659" s="517"/>
      <c r="AA659" s="518"/>
      <c r="AB659" s="517"/>
      <c r="AC659" s="518"/>
      <c r="AD659" s="517"/>
      <c r="AE659" s="518"/>
      <c r="AF659" s="601">
        <f t="shared" si="228"/>
        <v>0</v>
      </c>
      <c r="AG659" s="602">
        <f t="shared" si="229"/>
        <v>0</v>
      </c>
      <c r="AH659" s="603">
        <f t="shared" si="230"/>
        <v>0</v>
      </c>
      <c r="AI659" s="603">
        <f t="shared" si="231"/>
        <v>0</v>
      </c>
      <c r="AJ659" s="517"/>
      <c r="AK659" s="518"/>
      <c r="AL659" s="601">
        <f t="shared" si="232"/>
        <v>0</v>
      </c>
      <c r="AM659" s="604">
        <f t="shared" si="233"/>
        <v>0</v>
      </c>
      <c r="AN659" s="520"/>
      <c r="AO659" s="521"/>
      <c r="AP659" s="517">
        <v>0</v>
      </c>
      <c r="AQ659" s="521">
        <v>0</v>
      </c>
      <c r="AR659" s="517">
        <v>0</v>
      </c>
      <c r="AS659" s="521">
        <v>0</v>
      </c>
      <c r="AT659" s="517">
        <v>0</v>
      </c>
      <c r="AU659" s="521">
        <v>0</v>
      </c>
      <c r="AV659" s="601">
        <f t="shared" si="234"/>
        <v>0</v>
      </c>
      <c r="AW659" s="609">
        <f t="shared" si="235"/>
        <v>0</v>
      </c>
      <c r="AX659" s="603">
        <f t="shared" si="236"/>
        <v>0</v>
      </c>
      <c r="AY659" s="610">
        <f t="shared" si="237"/>
        <v>0</v>
      </c>
      <c r="AZ659" s="611">
        <f t="shared" si="238"/>
        <v>2470.8000000000002</v>
      </c>
      <c r="BA659" s="603">
        <f t="shared" si="239"/>
        <v>2420.5333333333333</v>
      </c>
    </row>
    <row r="660" spans="1:53">
      <c r="A660" s="522" t="s">
        <v>166</v>
      </c>
      <c r="B660" s="624" t="s">
        <v>874</v>
      </c>
      <c r="C660" s="625"/>
      <c r="D660" s="522">
        <v>231873</v>
      </c>
      <c r="E660" s="529">
        <v>10</v>
      </c>
      <c r="F660" s="515" t="s">
        <v>52</v>
      </c>
      <c r="G660" s="516" t="s">
        <v>52</v>
      </c>
      <c r="H660" s="517"/>
      <c r="I660" s="518"/>
      <c r="J660" s="358">
        <v>10836</v>
      </c>
      <c r="K660" s="518">
        <v>11099</v>
      </c>
      <c r="L660" s="517">
        <v>2514</v>
      </c>
      <c r="M660" s="518">
        <v>2749</v>
      </c>
      <c r="N660" s="358">
        <v>12739</v>
      </c>
      <c r="O660" s="518">
        <v>12784</v>
      </c>
      <c r="P660" s="601">
        <f t="shared" si="223"/>
        <v>26089</v>
      </c>
      <c r="Q660" s="602">
        <f t="shared" si="224"/>
        <v>869.63333333333333</v>
      </c>
      <c r="R660" s="603">
        <f t="shared" si="240"/>
        <v>26632</v>
      </c>
      <c r="S660" s="604">
        <f t="shared" si="225"/>
        <v>887.73333333333335</v>
      </c>
      <c r="T660" s="517">
        <v>6884</v>
      </c>
      <c r="U660" s="518">
        <v>8949</v>
      </c>
      <c r="V660" s="601">
        <f t="shared" si="226"/>
        <v>26089</v>
      </c>
      <c r="W660" s="605">
        <f t="shared" si="227"/>
        <v>26632</v>
      </c>
      <c r="X660" s="519"/>
      <c r="Y660" s="518"/>
      <c r="Z660" s="517"/>
      <c r="AA660" s="518"/>
      <c r="AB660" s="517"/>
      <c r="AC660" s="518"/>
      <c r="AD660" s="517"/>
      <c r="AE660" s="518"/>
      <c r="AF660" s="601">
        <f t="shared" si="228"/>
        <v>0</v>
      </c>
      <c r="AG660" s="602">
        <f t="shared" si="229"/>
        <v>0</v>
      </c>
      <c r="AH660" s="603">
        <f t="shared" si="230"/>
        <v>0</v>
      </c>
      <c r="AI660" s="603">
        <f t="shared" si="231"/>
        <v>0</v>
      </c>
      <c r="AJ660" s="517"/>
      <c r="AK660" s="518"/>
      <c r="AL660" s="601">
        <f t="shared" si="232"/>
        <v>0</v>
      </c>
      <c r="AM660" s="604">
        <f t="shared" si="233"/>
        <v>0</v>
      </c>
      <c r="AN660" s="520"/>
      <c r="AO660" s="521"/>
      <c r="AP660" s="517">
        <v>0</v>
      </c>
      <c r="AQ660" s="521">
        <v>0</v>
      </c>
      <c r="AR660" s="517">
        <v>0</v>
      </c>
      <c r="AS660" s="521">
        <v>0</v>
      </c>
      <c r="AT660" s="517">
        <v>0</v>
      </c>
      <c r="AU660" s="521">
        <v>0</v>
      </c>
      <c r="AV660" s="601">
        <f t="shared" si="234"/>
        <v>0</v>
      </c>
      <c r="AW660" s="609">
        <f t="shared" si="235"/>
        <v>0</v>
      </c>
      <c r="AX660" s="603">
        <f t="shared" si="236"/>
        <v>0</v>
      </c>
      <c r="AY660" s="610">
        <f t="shared" si="237"/>
        <v>0</v>
      </c>
      <c r="AZ660" s="611">
        <f t="shared" si="238"/>
        <v>869.63333333333333</v>
      </c>
      <c r="BA660" s="603">
        <f t="shared" si="239"/>
        <v>887.73333333333335</v>
      </c>
    </row>
    <row r="661" spans="1:53">
      <c r="A661" s="522" t="s">
        <v>166</v>
      </c>
      <c r="B661" s="624" t="s">
        <v>875</v>
      </c>
      <c r="C661" s="625"/>
      <c r="D661" s="522">
        <v>232052</v>
      </c>
      <c r="E661" s="619">
        <v>10</v>
      </c>
      <c r="F661" s="515" t="s">
        <v>52</v>
      </c>
      <c r="G661" s="516" t="s">
        <v>52</v>
      </c>
      <c r="H661" s="517"/>
      <c r="I661" s="518"/>
      <c r="J661" s="358">
        <v>9319</v>
      </c>
      <c r="K661" s="518">
        <v>9373</v>
      </c>
      <c r="L661" s="517">
        <v>1774</v>
      </c>
      <c r="M661" s="518">
        <v>1746</v>
      </c>
      <c r="N661" s="358">
        <v>9511</v>
      </c>
      <c r="O661" s="518">
        <v>9093</v>
      </c>
      <c r="P661" s="601">
        <f t="shared" si="223"/>
        <v>20604</v>
      </c>
      <c r="Q661" s="602">
        <f t="shared" si="224"/>
        <v>686.8</v>
      </c>
      <c r="R661" s="603">
        <f t="shared" si="240"/>
        <v>20212</v>
      </c>
      <c r="S661" s="604">
        <f t="shared" si="225"/>
        <v>673.73333333333335</v>
      </c>
      <c r="T661" s="517">
        <v>4020</v>
      </c>
      <c r="U661" s="518">
        <v>5181</v>
      </c>
      <c r="V661" s="601">
        <f t="shared" si="226"/>
        <v>20604</v>
      </c>
      <c r="W661" s="605">
        <f t="shared" si="227"/>
        <v>20212</v>
      </c>
      <c r="X661" s="519"/>
      <c r="Y661" s="518"/>
      <c r="Z661" s="517"/>
      <c r="AA661" s="518"/>
      <c r="AB661" s="517"/>
      <c r="AC661" s="518"/>
      <c r="AD661" s="517"/>
      <c r="AE661" s="518"/>
      <c r="AF661" s="601">
        <f t="shared" si="228"/>
        <v>0</v>
      </c>
      <c r="AG661" s="602">
        <f t="shared" si="229"/>
        <v>0</v>
      </c>
      <c r="AH661" s="603">
        <f t="shared" si="230"/>
        <v>0</v>
      </c>
      <c r="AI661" s="603">
        <f t="shared" si="231"/>
        <v>0</v>
      </c>
      <c r="AJ661" s="517"/>
      <c r="AK661" s="518"/>
      <c r="AL661" s="601">
        <f t="shared" si="232"/>
        <v>0</v>
      </c>
      <c r="AM661" s="604">
        <f t="shared" si="233"/>
        <v>0</v>
      </c>
      <c r="AN661" s="520"/>
      <c r="AO661" s="521"/>
      <c r="AP661" s="517">
        <v>0</v>
      </c>
      <c r="AQ661" s="521">
        <v>0</v>
      </c>
      <c r="AR661" s="517">
        <v>0</v>
      </c>
      <c r="AS661" s="521">
        <v>0</v>
      </c>
      <c r="AT661" s="517">
        <v>0</v>
      </c>
      <c r="AU661" s="521">
        <v>0</v>
      </c>
      <c r="AV661" s="601">
        <f t="shared" si="234"/>
        <v>0</v>
      </c>
      <c r="AW661" s="609">
        <f t="shared" si="235"/>
        <v>0</v>
      </c>
      <c r="AX661" s="603">
        <f t="shared" si="236"/>
        <v>0</v>
      </c>
      <c r="AY661" s="610">
        <f t="shared" si="237"/>
        <v>0</v>
      </c>
      <c r="AZ661" s="611">
        <f t="shared" si="238"/>
        <v>686.8</v>
      </c>
      <c r="BA661" s="603">
        <f t="shared" si="239"/>
        <v>673.73333333333335</v>
      </c>
    </row>
    <row r="662" spans="1:53">
      <c r="A662" s="522" t="s">
        <v>166</v>
      </c>
      <c r="B662" s="624" t="s">
        <v>876</v>
      </c>
      <c r="C662" s="625" t="s">
        <v>270</v>
      </c>
      <c r="D662" s="522">
        <v>232788</v>
      </c>
      <c r="E662" s="776">
        <v>10</v>
      </c>
      <c r="F662" s="515" t="s">
        <v>52</v>
      </c>
      <c r="G662" s="516" t="s">
        <v>52</v>
      </c>
      <c r="H662" s="517"/>
      <c r="I662" s="518"/>
      <c r="J662" s="358">
        <v>26113</v>
      </c>
      <c r="K662" s="518">
        <v>27184</v>
      </c>
      <c r="L662" s="517">
        <v>7553</v>
      </c>
      <c r="M662" s="518">
        <v>8105</v>
      </c>
      <c r="N662" s="358">
        <v>32281</v>
      </c>
      <c r="O662" s="518">
        <v>29806</v>
      </c>
      <c r="P662" s="601">
        <f t="shared" si="223"/>
        <v>65947</v>
      </c>
      <c r="Q662" s="602">
        <f t="shared" si="224"/>
        <v>2198.2333333333331</v>
      </c>
      <c r="R662" s="603">
        <f t="shared" si="240"/>
        <v>65095</v>
      </c>
      <c r="S662" s="604">
        <f t="shared" si="225"/>
        <v>2169.8333333333335</v>
      </c>
      <c r="T662" s="517">
        <v>15902</v>
      </c>
      <c r="U662" s="518">
        <v>20685</v>
      </c>
      <c r="V662" s="601">
        <f t="shared" si="226"/>
        <v>65947</v>
      </c>
      <c r="W662" s="605">
        <f t="shared" si="227"/>
        <v>65095</v>
      </c>
      <c r="X662" s="519"/>
      <c r="Y662" s="518"/>
      <c r="Z662" s="517"/>
      <c r="AA662" s="518"/>
      <c r="AB662" s="517"/>
      <c r="AC662" s="518"/>
      <c r="AD662" s="517"/>
      <c r="AE662" s="518"/>
      <c r="AF662" s="601">
        <f t="shared" si="228"/>
        <v>0</v>
      </c>
      <c r="AG662" s="602">
        <f t="shared" si="229"/>
        <v>0</v>
      </c>
      <c r="AH662" s="603">
        <f t="shared" si="230"/>
        <v>0</v>
      </c>
      <c r="AI662" s="603">
        <f t="shared" si="231"/>
        <v>0</v>
      </c>
      <c r="AJ662" s="517"/>
      <c r="AK662" s="518"/>
      <c r="AL662" s="601">
        <f t="shared" si="232"/>
        <v>0</v>
      </c>
      <c r="AM662" s="604">
        <f t="shared" si="233"/>
        <v>0</v>
      </c>
      <c r="AN662" s="520"/>
      <c r="AO662" s="521"/>
      <c r="AP662" s="517">
        <v>0</v>
      </c>
      <c r="AQ662" s="521">
        <v>0</v>
      </c>
      <c r="AR662" s="517">
        <v>0</v>
      </c>
      <c r="AS662" s="521">
        <v>0</v>
      </c>
      <c r="AT662" s="517">
        <v>0</v>
      </c>
      <c r="AU662" s="521">
        <v>0</v>
      </c>
      <c r="AV662" s="601">
        <f t="shared" si="234"/>
        <v>0</v>
      </c>
      <c r="AW662" s="609">
        <f t="shared" si="235"/>
        <v>0</v>
      </c>
      <c r="AX662" s="603">
        <f t="shared" si="236"/>
        <v>0</v>
      </c>
      <c r="AY662" s="610">
        <f t="shared" si="237"/>
        <v>0</v>
      </c>
      <c r="AZ662" s="611">
        <f t="shared" si="238"/>
        <v>2198.2333333333331</v>
      </c>
      <c r="BA662" s="603">
        <f t="shared" si="239"/>
        <v>2169.8333333333335</v>
      </c>
    </row>
    <row r="663" spans="1:53">
      <c r="A663" s="522" t="s">
        <v>166</v>
      </c>
      <c r="B663" s="624" t="s">
        <v>878</v>
      </c>
      <c r="C663" s="625"/>
      <c r="D663" s="522">
        <v>233037</v>
      </c>
      <c r="E663" s="529">
        <v>10</v>
      </c>
      <c r="F663" s="515" t="s">
        <v>52</v>
      </c>
      <c r="G663" s="516" t="s">
        <v>52</v>
      </c>
      <c r="H663" s="517"/>
      <c r="I663" s="518"/>
      <c r="J663" s="358">
        <v>13540</v>
      </c>
      <c r="K663" s="518">
        <v>13573</v>
      </c>
      <c r="L663" s="517">
        <v>3562</v>
      </c>
      <c r="M663" s="518">
        <v>5713</v>
      </c>
      <c r="N663" s="358">
        <v>13649</v>
      </c>
      <c r="O663" s="518">
        <v>13923</v>
      </c>
      <c r="P663" s="601">
        <f t="shared" si="223"/>
        <v>30751</v>
      </c>
      <c r="Q663" s="602">
        <f t="shared" si="224"/>
        <v>1025.0333333333333</v>
      </c>
      <c r="R663" s="603">
        <f t="shared" si="240"/>
        <v>33209</v>
      </c>
      <c r="S663" s="604">
        <f t="shared" si="225"/>
        <v>1106.9666666666667</v>
      </c>
      <c r="T663" s="517">
        <v>6153</v>
      </c>
      <c r="U663" s="518">
        <v>8874</v>
      </c>
      <c r="V663" s="601">
        <f t="shared" si="226"/>
        <v>30751</v>
      </c>
      <c r="W663" s="605">
        <f t="shared" si="227"/>
        <v>33209</v>
      </c>
      <c r="X663" s="519"/>
      <c r="Y663" s="518"/>
      <c r="Z663" s="517"/>
      <c r="AA663" s="518"/>
      <c r="AB663" s="517"/>
      <c r="AC663" s="518"/>
      <c r="AD663" s="517"/>
      <c r="AE663" s="518"/>
      <c r="AF663" s="601">
        <f t="shared" si="228"/>
        <v>0</v>
      </c>
      <c r="AG663" s="602">
        <f t="shared" si="229"/>
        <v>0</v>
      </c>
      <c r="AH663" s="603">
        <f t="shared" si="230"/>
        <v>0</v>
      </c>
      <c r="AI663" s="603">
        <f t="shared" si="231"/>
        <v>0</v>
      </c>
      <c r="AJ663" s="517"/>
      <c r="AK663" s="518"/>
      <c r="AL663" s="601">
        <f t="shared" si="232"/>
        <v>0</v>
      </c>
      <c r="AM663" s="604">
        <f t="shared" si="233"/>
        <v>0</v>
      </c>
      <c r="AN663" s="520"/>
      <c r="AO663" s="521"/>
      <c r="AP663" s="517">
        <v>0</v>
      </c>
      <c r="AQ663" s="521">
        <v>0</v>
      </c>
      <c r="AR663" s="517">
        <v>0</v>
      </c>
      <c r="AS663" s="521">
        <v>0</v>
      </c>
      <c r="AT663" s="517">
        <v>0</v>
      </c>
      <c r="AU663" s="521">
        <v>0</v>
      </c>
      <c r="AV663" s="601">
        <f t="shared" si="234"/>
        <v>0</v>
      </c>
      <c r="AW663" s="609">
        <f t="shared" si="235"/>
        <v>0</v>
      </c>
      <c r="AX663" s="603">
        <f t="shared" si="236"/>
        <v>0</v>
      </c>
      <c r="AY663" s="610">
        <f t="shared" si="237"/>
        <v>0</v>
      </c>
      <c r="AZ663" s="611">
        <f t="shared" si="238"/>
        <v>1025.0333333333333</v>
      </c>
      <c r="BA663" s="603">
        <f t="shared" si="239"/>
        <v>1106.9666666666667</v>
      </c>
    </row>
    <row r="664" spans="1:53">
      <c r="A664" s="522" t="s">
        <v>166</v>
      </c>
      <c r="B664" s="624" t="s">
        <v>879</v>
      </c>
      <c r="C664" s="625" t="s">
        <v>455</v>
      </c>
      <c r="D664" s="522">
        <v>233310</v>
      </c>
      <c r="E664" s="529">
        <v>10</v>
      </c>
      <c r="F664" s="515" t="s">
        <v>52</v>
      </c>
      <c r="G664" s="516" t="s">
        <v>52</v>
      </c>
      <c r="H664" s="517"/>
      <c r="I664" s="518"/>
      <c r="J664" s="358">
        <v>24645</v>
      </c>
      <c r="K664" s="518">
        <v>26314</v>
      </c>
      <c r="L664" s="517">
        <v>4982</v>
      </c>
      <c r="M664" s="518">
        <v>6466</v>
      </c>
      <c r="N664" s="358">
        <v>28641</v>
      </c>
      <c r="O664" s="518">
        <v>28026</v>
      </c>
      <c r="P664" s="601">
        <f t="shared" si="223"/>
        <v>58268</v>
      </c>
      <c r="Q664" s="602">
        <f t="shared" si="224"/>
        <v>1942.2666666666667</v>
      </c>
      <c r="R664" s="603">
        <f t="shared" si="240"/>
        <v>60806</v>
      </c>
      <c r="S664" s="604">
        <f t="shared" si="225"/>
        <v>2026.8666666666666</v>
      </c>
      <c r="T664" s="517">
        <v>27222</v>
      </c>
      <c r="U664" s="518">
        <v>39065</v>
      </c>
      <c r="V664" s="601">
        <f t="shared" si="226"/>
        <v>58268</v>
      </c>
      <c r="W664" s="605">
        <f t="shared" si="227"/>
        <v>60806</v>
      </c>
      <c r="X664" s="519"/>
      <c r="Y664" s="518"/>
      <c r="Z664" s="517"/>
      <c r="AA664" s="518"/>
      <c r="AB664" s="517"/>
      <c r="AC664" s="518"/>
      <c r="AD664" s="517"/>
      <c r="AE664" s="518"/>
      <c r="AF664" s="601">
        <f t="shared" si="228"/>
        <v>0</v>
      </c>
      <c r="AG664" s="602">
        <f t="shared" si="229"/>
        <v>0</v>
      </c>
      <c r="AH664" s="603">
        <f t="shared" si="230"/>
        <v>0</v>
      </c>
      <c r="AI664" s="603">
        <f t="shared" si="231"/>
        <v>0</v>
      </c>
      <c r="AJ664" s="517"/>
      <c r="AK664" s="518"/>
      <c r="AL664" s="601">
        <f t="shared" si="232"/>
        <v>0</v>
      </c>
      <c r="AM664" s="604">
        <f t="shared" si="233"/>
        <v>0</v>
      </c>
      <c r="AN664" s="520"/>
      <c r="AO664" s="521"/>
      <c r="AP664" s="517">
        <v>0</v>
      </c>
      <c r="AQ664" s="521">
        <v>0</v>
      </c>
      <c r="AR664" s="517">
        <v>0</v>
      </c>
      <c r="AS664" s="521">
        <v>0</v>
      </c>
      <c r="AT664" s="517">
        <v>0</v>
      </c>
      <c r="AU664" s="521">
        <v>0</v>
      </c>
      <c r="AV664" s="601">
        <f t="shared" si="234"/>
        <v>0</v>
      </c>
      <c r="AW664" s="609">
        <f t="shared" si="235"/>
        <v>0</v>
      </c>
      <c r="AX664" s="603">
        <f t="shared" si="236"/>
        <v>0</v>
      </c>
      <c r="AY664" s="610">
        <f t="shared" si="237"/>
        <v>0</v>
      </c>
      <c r="AZ664" s="611">
        <f t="shared" si="238"/>
        <v>1942.2666666666667</v>
      </c>
      <c r="BA664" s="603">
        <f t="shared" si="239"/>
        <v>2026.8666666666666</v>
      </c>
    </row>
    <row r="665" spans="1:53">
      <c r="A665" s="522" t="s">
        <v>166</v>
      </c>
      <c r="B665" s="626" t="s">
        <v>880</v>
      </c>
      <c r="C665" s="627"/>
      <c r="D665" s="522">
        <v>233338</v>
      </c>
      <c r="E665" s="529">
        <v>10</v>
      </c>
      <c r="F665" s="515" t="s">
        <v>52</v>
      </c>
      <c r="G665" s="516" t="s">
        <v>52</v>
      </c>
      <c r="H665" s="517"/>
      <c r="I665" s="518"/>
      <c r="J665" s="358">
        <v>15027</v>
      </c>
      <c r="K665" s="518">
        <v>15096</v>
      </c>
      <c r="L665" s="517">
        <v>3102</v>
      </c>
      <c r="M665" s="518">
        <v>2853</v>
      </c>
      <c r="N665" s="358">
        <v>17080</v>
      </c>
      <c r="O665" s="518">
        <v>17304</v>
      </c>
      <c r="P665" s="601">
        <f t="shared" si="223"/>
        <v>35209</v>
      </c>
      <c r="Q665" s="602">
        <f t="shared" si="224"/>
        <v>1173.6333333333334</v>
      </c>
      <c r="R665" s="603">
        <f t="shared" si="240"/>
        <v>35253</v>
      </c>
      <c r="S665" s="604">
        <f t="shared" si="225"/>
        <v>1175.0999999999999</v>
      </c>
      <c r="T665" s="517">
        <v>3248</v>
      </c>
      <c r="U665" s="518">
        <v>4287</v>
      </c>
      <c r="V665" s="601">
        <f t="shared" si="226"/>
        <v>35209</v>
      </c>
      <c r="W665" s="605">
        <f t="shared" si="227"/>
        <v>35253</v>
      </c>
      <c r="X665" s="519"/>
      <c r="Y665" s="518"/>
      <c r="Z665" s="517"/>
      <c r="AA665" s="518"/>
      <c r="AB665" s="517"/>
      <c r="AC665" s="518"/>
      <c r="AD665" s="517"/>
      <c r="AE665" s="518"/>
      <c r="AF665" s="601">
        <f t="shared" si="228"/>
        <v>0</v>
      </c>
      <c r="AG665" s="602">
        <f t="shared" si="229"/>
        <v>0</v>
      </c>
      <c r="AH665" s="603">
        <f t="shared" si="230"/>
        <v>0</v>
      </c>
      <c r="AI665" s="603">
        <f t="shared" si="231"/>
        <v>0</v>
      </c>
      <c r="AJ665" s="517"/>
      <c r="AK665" s="518"/>
      <c r="AL665" s="601">
        <f t="shared" si="232"/>
        <v>0</v>
      </c>
      <c r="AM665" s="604">
        <f t="shared" si="233"/>
        <v>0</v>
      </c>
      <c r="AN665" s="520"/>
      <c r="AO665" s="521"/>
      <c r="AP665" s="517">
        <v>0</v>
      </c>
      <c r="AQ665" s="521">
        <v>0</v>
      </c>
      <c r="AR665" s="517">
        <v>0</v>
      </c>
      <c r="AS665" s="521">
        <v>0</v>
      </c>
      <c r="AT665" s="517">
        <v>0</v>
      </c>
      <c r="AU665" s="521">
        <v>0</v>
      </c>
      <c r="AV665" s="601">
        <f t="shared" si="234"/>
        <v>0</v>
      </c>
      <c r="AW665" s="609">
        <f t="shared" si="235"/>
        <v>0</v>
      </c>
      <c r="AX665" s="603">
        <f t="shared" si="236"/>
        <v>0</v>
      </c>
      <c r="AY665" s="610">
        <f t="shared" si="237"/>
        <v>0</v>
      </c>
      <c r="AZ665" s="611">
        <f t="shared" si="238"/>
        <v>1173.6333333333334</v>
      </c>
      <c r="BA665" s="603">
        <f t="shared" si="239"/>
        <v>1175.0999999999999</v>
      </c>
    </row>
    <row r="666" spans="1:53">
      <c r="A666" s="522" t="s">
        <v>166</v>
      </c>
      <c r="B666" s="624" t="s">
        <v>881</v>
      </c>
      <c r="C666" s="625"/>
      <c r="D666" s="522">
        <v>233903</v>
      </c>
      <c r="E666" s="619">
        <v>10</v>
      </c>
      <c r="F666" s="515" t="s">
        <v>52</v>
      </c>
      <c r="G666" s="516" t="s">
        <v>52</v>
      </c>
      <c r="H666" s="517"/>
      <c r="I666" s="518"/>
      <c r="J666" s="358">
        <v>22541</v>
      </c>
      <c r="K666" s="518">
        <v>23290</v>
      </c>
      <c r="L666" s="517">
        <v>5811</v>
      </c>
      <c r="M666" s="518">
        <v>5333</v>
      </c>
      <c r="N666" s="358">
        <v>27771</v>
      </c>
      <c r="O666" s="518">
        <v>26350</v>
      </c>
      <c r="P666" s="601">
        <f t="shared" si="223"/>
        <v>56123</v>
      </c>
      <c r="Q666" s="602">
        <f t="shared" si="224"/>
        <v>1870.7666666666667</v>
      </c>
      <c r="R666" s="603">
        <f t="shared" si="240"/>
        <v>54973</v>
      </c>
      <c r="S666" s="604">
        <f t="shared" si="225"/>
        <v>1832.4333333333334</v>
      </c>
      <c r="T666" s="517">
        <v>10194</v>
      </c>
      <c r="U666" s="518">
        <v>15623</v>
      </c>
      <c r="V666" s="601">
        <f t="shared" si="226"/>
        <v>56123</v>
      </c>
      <c r="W666" s="605">
        <f t="shared" si="227"/>
        <v>54973</v>
      </c>
      <c r="X666" s="519"/>
      <c r="Y666" s="518"/>
      <c r="Z666" s="517"/>
      <c r="AA666" s="518"/>
      <c r="AB666" s="517"/>
      <c r="AC666" s="518"/>
      <c r="AD666" s="517"/>
      <c r="AE666" s="518"/>
      <c r="AF666" s="601">
        <f t="shared" si="228"/>
        <v>0</v>
      </c>
      <c r="AG666" s="602">
        <f t="shared" si="229"/>
        <v>0</v>
      </c>
      <c r="AH666" s="603">
        <f t="shared" si="230"/>
        <v>0</v>
      </c>
      <c r="AI666" s="603">
        <f t="shared" si="231"/>
        <v>0</v>
      </c>
      <c r="AJ666" s="517"/>
      <c r="AK666" s="518"/>
      <c r="AL666" s="601">
        <f t="shared" si="232"/>
        <v>0</v>
      </c>
      <c r="AM666" s="604">
        <f t="shared" si="233"/>
        <v>0</v>
      </c>
      <c r="AN666" s="520"/>
      <c r="AO666" s="521"/>
      <c r="AP666" s="517">
        <v>0</v>
      </c>
      <c r="AQ666" s="521">
        <v>0</v>
      </c>
      <c r="AR666" s="517">
        <v>0</v>
      </c>
      <c r="AS666" s="521">
        <v>0</v>
      </c>
      <c r="AT666" s="517">
        <v>0</v>
      </c>
      <c r="AU666" s="521">
        <v>0</v>
      </c>
      <c r="AV666" s="601">
        <f t="shared" si="234"/>
        <v>0</v>
      </c>
      <c r="AW666" s="609">
        <f t="shared" si="235"/>
        <v>0</v>
      </c>
      <c r="AX666" s="603">
        <f t="shared" si="236"/>
        <v>0</v>
      </c>
      <c r="AY666" s="610">
        <f t="shared" si="237"/>
        <v>0</v>
      </c>
      <c r="AZ666" s="611">
        <f t="shared" si="238"/>
        <v>1870.7666666666667</v>
      </c>
      <c r="BA666" s="603">
        <f t="shared" si="239"/>
        <v>1832.4333333333334</v>
      </c>
    </row>
    <row r="667" spans="1:53">
      <c r="A667" s="612" t="s">
        <v>166</v>
      </c>
      <c r="B667" s="767"/>
      <c r="C667" s="771" t="s">
        <v>1013</v>
      </c>
      <c r="D667" s="612"/>
      <c r="E667" s="777" t="s">
        <v>218</v>
      </c>
      <c r="F667" s="597"/>
      <c r="G667" s="598"/>
      <c r="H667" s="599"/>
      <c r="I667" s="600"/>
      <c r="J667" s="768">
        <f t="shared" ref="J667:O667" si="241">+J643+J644+J645+J646</f>
        <v>878882</v>
      </c>
      <c r="K667" s="768">
        <f t="shared" si="241"/>
        <v>916791</v>
      </c>
      <c r="L667" s="768">
        <f t="shared" si="241"/>
        <v>295297</v>
      </c>
      <c r="M667" s="768">
        <f t="shared" si="241"/>
        <v>337767</v>
      </c>
      <c r="N667" s="768">
        <f t="shared" si="241"/>
        <v>934218</v>
      </c>
      <c r="O667" s="768">
        <f t="shared" si="241"/>
        <v>961980</v>
      </c>
      <c r="P667" s="601">
        <f t="shared" ref="P667" si="242">SUM(H667,J667,L667,N667)</f>
        <v>2108397</v>
      </c>
      <c r="Q667" s="602">
        <f t="shared" ref="Q667" si="243">+P667/30</f>
        <v>70279.899999999994</v>
      </c>
      <c r="R667" s="603">
        <f t="shared" ref="R667" si="244">SUM(I667,K667,M667,O667)</f>
        <v>2216538</v>
      </c>
      <c r="S667" s="604">
        <f t="shared" ref="S667" si="245">+R667/30</f>
        <v>73884.600000000006</v>
      </c>
      <c r="T667" s="768">
        <f>+T643+T644+T645+T646</f>
        <v>65254</v>
      </c>
      <c r="U667" s="768">
        <f>+U643+U644+U645+U646</f>
        <v>81589</v>
      </c>
      <c r="V667" s="601">
        <f t="shared" ref="V667" si="246">IF(ISBLANK(T667),0,P667)</f>
        <v>2108397</v>
      </c>
      <c r="W667" s="605">
        <f t="shared" ref="W667" si="247">IF(ISBLANK(U667),0,R667)</f>
        <v>2216538</v>
      </c>
      <c r="X667" s="606"/>
      <c r="Y667" s="600"/>
      <c r="Z667" s="599"/>
      <c r="AA667" s="600"/>
      <c r="AB667" s="599"/>
      <c r="AC667" s="600"/>
      <c r="AD667" s="599"/>
      <c r="AE667" s="600"/>
      <c r="AF667" s="601">
        <f t="shared" ref="AF667" si="248">SUM(X667,Z667,AB667,AD667)</f>
        <v>0</v>
      </c>
      <c r="AG667" s="602">
        <f t="shared" ref="AG667" si="249">+AF667/900</f>
        <v>0</v>
      </c>
      <c r="AH667" s="603">
        <f t="shared" ref="AH667" si="250">SUM(Y667,AA667,AC667,AE667)</f>
        <v>0</v>
      </c>
      <c r="AI667" s="603">
        <f t="shared" ref="AI667" si="251">+AH667/900</f>
        <v>0</v>
      </c>
      <c r="AJ667" s="599"/>
      <c r="AK667" s="600"/>
      <c r="AL667" s="601">
        <f t="shared" ref="AL667" si="252">IF(ISBLANK(AJ667),0,AF667)</f>
        <v>0</v>
      </c>
      <c r="AM667" s="604">
        <f t="shared" ref="AM667" si="253">IF(ISBLANK(AK667),0,AH667)</f>
        <v>0</v>
      </c>
      <c r="AN667" s="607"/>
      <c r="AO667" s="608"/>
      <c r="AP667" s="599"/>
      <c r="AQ667" s="608"/>
      <c r="AR667" s="599"/>
      <c r="AS667" s="608"/>
      <c r="AT667" s="599"/>
      <c r="AU667" s="608"/>
      <c r="AV667" s="601">
        <f t="shared" ref="AV667" si="254">SUM(AN667,AP667,AR667,AT667)</f>
        <v>0</v>
      </c>
      <c r="AW667" s="609">
        <f t="shared" ref="AW667" si="255">+AV667/24</f>
        <v>0</v>
      </c>
      <c r="AX667" s="603">
        <f t="shared" ref="AX667" si="256">SUM(AO667,AQ667,AS667,AU667)</f>
        <v>0</v>
      </c>
      <c r="AY667" s="610">
        <f t="shared" ref="AY667" si="257">+AX667/24</f>
        <v>0</v>
      </c>
      <c r="AZ667" s="611">
        <f t="shared" ref="AZ667" si="258">SUM(Q667,AG667,AW667)</f>
        <v>70279.899999999994</v>
      </c>
      <c r="BA667" s="603">
        <f t="shared" ref="BA667" si="259">SUM(S667,AI667,AY667)</f>
        <v>73884.600000000006</v>
      </c>
    </row>
    <row r="668" spans="1:53">
      <c r="A668" s="612" t="s">
        <v>166</v>
      </c>
      <c r="B668" s="769"/>
      <c r="C668" s="772" t="s">
        <v>1014</v>
      </c>
      <c r="D668" s="612"/>
      <c r="E668" s="777" t="s">
        <v>219</v>
      </c>
      <c r="F668" s="597"/>
      <c r="G668" s="598"/>
      <c r="H668" s="599"/>
      <c r="I668" s="600"/>
      <c r="J668" s="770">
        <f t="shared" ref="J668:O668" si="260">+J647+J648+J649+J650+J651+J652+J653+J654+J655+J656+J657+J658+J659</f>
        <v>587127</v>
      </c>
      <c r="K668" s="770">
        <f t="shared" si="260"/>
        <v>591242</v>
      </c>
      <c r="L668" s="770">
        <f t="shared" si="260"/>
        <v>157324</v>
      </c>
      <c r="M668" s="770">
        <f t="shared" si="260"/>
        <v>169147</v>
      </c>
      <c r="N668" s="770">
        <f t="shared" si="260"/>
        <v>637767</v>
      </c>
      <c r="O668" s="770">
        <f t="shared" si="260"/>
        <v>636010</v>
      </c>
      <c r="P668" s="601">
        <f t="shared" ref="P668" si="261">SUM(H668,J668,L668,N668)</f>
        <v>1382218</v>
      </c>
      <c r="Q668" s="602">
        <f t="shared" ref="Q668" si="262">+P668/30</f>
        <v>46073.933333333334</v>
      </c>
      <c r="R668" s="603">
        <f t="shared" ref="R668" si="263">SUM(I668,K668,M668,O668)</f>
        <v>1396399</v>
      </c>
      <c r="S668" s="604">
        <f t="shared" ref="S668" si="264">+R668/30</f>
        <v>46546.633333333331</v>
      </c>
      <c r="T668" s="770">
        <f>+T647+T648+T649+T650+T651+T652+T653+T654+T655+T656+T657+T658+T659</f>
        <v>279191</v>
      </c>
      <c r="U668" s="770">
        <f>+U647+U648+U649+U650+U651+U652+U653+U654+U655+U656+U657+U658+U659</f>
        <v>371173</v>
      </c>
      <c r="V668" s="601">
        <f t="shared" ref="V668" si="265">IF(ISBLANK(T668),0,P668)</f>
        <v>1382218</v>
      </c>
      <c r="W668" s="605">
        <f t="shared" ref="W668" si="266">IF(ISBLANK(U668),0,R668)</f>
        <v>1396399</v>
      </c>
      <c r="X668" s="606"/>
      <c r="Y668" s="600"/>
      <c r="Z668" s="599"/>
      <c r="AA668" s="600"/>
      <c r="AB668" s="599"/>
      <c r="AC668" s="600"/>
      <c r="AD668" s="599"/>
      <c r="AE668" s="600"/>
      <c r="AF668" s="601">
        <f t="shared" ref="AF668" si="267">SUM(X668,Z668,AB668,AD668)</f>
        <v>0</v>
      </c>
      <c r="AG668" s="602">
        <f t="shared" ref="AG668" si="268">+AF668/900</f>
        <v>0</v>
      </c>
      <c r="AH668" s="603">
        <f t="shared" ref="AH668" si="269">SUM(Y668,AA668,AC668,AE668)</f>
        <v>0</v>
      </c>
      <c r="AI668" s="603">
        <f t="shared" ref="AI668" si="270">+AH668/900</f>
        <v>0</v>
      </c>
      <c r="AJ668" s="599"/>
      <c r="AK668" s="600"/>
      <c r="AL668" s="601">
        <f t="shared" ref="AL668" si="271">IF(ISBLANK(AJ668),0,AF668)</f>
        <v>0</v>
      </c>
      <c r="AM668" s="604">
        <f t="shared" ref="AM668" si="272">IF(ISBLANK(AK668),0,AH668)</f>
        <v>0</v>
      </c>
      <c r="AN668" s="607"/>
      <c r="AO668" s="608"/>
      <c r="AP668" s="599"/>
      <c r="AQ668" s="608"/>
      <c r="AR668" s="599"/>
      <c r="AS668" s="608"/>
      <c r="AT668" s="599"/>
      <c r="AU668" s="608"/>
      <c r="AV668" s="601">
        <f t="shared" ref="AV668" si="273">SUM(AN668,AP668,AR668,AT668)</f>
        <v>0</v>
      </c>
      <c r="AW668" s="609">
        <f t="shared" ref="AW668" si="274">+AV668/24</f>
        <v>0</v>
      </c>
      <c r="AX668" s="603">
        <f t="shared" ref="AX668" si="275">SUM(AO668,AQ668,AS668,AU668)</f>
        <v>0</v>
      </c>
      <c r="AY668" s="610">
        <f t="shared" ref="AY668" si="276">+AX668/24</f>
        <v>0</v>
      </c>
      <c r="AZ668" s="611">
        <f t="shared" ref="AZ668" si="277">SUM(Q668,AG668,AW668)</f>
        <v>46073.933333333334</v>
      </c>
      <c r="BA668" s="603">
        <f t="shared" ref="BA668" si="278">SUM(S668,AI668,AY668)</f>
        <v>46546.633333333331</v>
      </c>
    </row>
    <row r="669" spans="1:53">
      <c r="A669" s="612" t="s">
        <v>166</v>
      </c>
      <c r="B669" s="773"/>
      <c r="C669" s="774" t="s">
        <v>1015</v>
      </c>
      <c r="D669" s="612"/>
      <c r="E669" s="777" t="s">
        <v>167</v>
      </c>
      <c r="F669" s="597"/>
      <c r="G669" s="598"/>
      <c r="H669" s="599"/>
      <c r="I669" s="600"/>
      <c r="J669" s="775">
        <f t="shared" ref="J669:O669" si="279">+J660+J661+J662+J663+J664+J666</f>
        <v>106994</v>
      </c>
      <c r="K669" s="775">
        <f t="shared" si="279"/>
        <v>110833</v>
      </c>
      <c r="L669" s="775">
        <f t="shared" si="279"/>
        <v>26196</v>
      </c>
      <c r="M669" s="775">
        <f t="shared" si="279"/>
        <v>30112</v>
      </c>
      <c r="N669" s="775">
        <f t="shared" si="279"/>
        <v>124592</v>
      </c>
      <c r="O669" s="775">
        <f t="shared" si="279"/>
        <v>119982</v>
      </c>
      <c r="P669" s="601">
        <f t="shared" ref="P669" si="280">SUM(H669,J669,L669,N669)</f>
        <v>257782</v>
      </c>
      <c r="Q669" s="602">
        <f t="shared" ref="Q669" si="281">+P669/30</f>
        <v>8592.7333333333336</v>
      </c>
      <c r="R669" s="603">
        <f t="shared" ref="R669" si="282">SUM(I669,K669,M669,O669)</f>
        <v>260927</v>
      </c>
      <c r="S669" s="604">
        <f t="shared" ref="S669" si="283">+R669/30</f>
        <v>8697.5666666666675</v>
      </c>
      <c r="T669" s="775">
        <f>+T660+T661+T662+T663+T664+T666</f>
        <v>70375</v>
      </c>
      <c r="U669" s="775">
        <f>+U660+U661+U662+U663+U664+U666</f>
        <v>98377</v>
      </c>
      <c r="V669" s="601">
        <f t="shared" ref="V669" si="284">IF(ISBLANK(T669),0,P669)</f>
        <v>257782</v>
      </c>
      <c r="W669" s="605">
        <f t="shared" ref="W669" si="285">IF(ISBLANK(U669),0,R669)</f>
        <v>260927</v>
      </c>
      <c r="X669" s="606"/>
      <c r="Y669" s="600"/>
      <c r="Z669" s="599"/>
      <c r="AA669" s="600"/>
      <c r="AB669" s="599"/>
      <c r="AC669" s="600"/>
      <c r="AD669" s="599"/>
      <c r="AE669" s="600"/>
      <c r="AF669" s="601">
        <f t="shared" ref="AF669" si="286">SUM(X669,Z669,AB669,AD669)</f>
        <v>0</v>
      </c>
      <c r="AG669" s="602">
        <f t="shared" ref="AG669" si="287">+AF669/900</f>
        <v>0</v>
      </c>
      <c r="AH669" s="603">
        <f t="shared" ref="AH669" si="288">SUM(Y669,AA669,AC669,AE669)</f>
        <v>0</v>
      </c>
      <c r="AI669" s="603">
        <f t="shared" ref="AI669" si="289">+AH669/900</f>
        <v>0</v>
      </c>
      <c r="AJ669" s="599"/>
      <c r="AK669" s="600"/>
      <c r="AL669" s="601">
        <f t="shared" ref="AL669" si="290">IF(ISBLANK(AJ669),0,AF669)</f>
        <v>0</v>
      </c>
      <c r="AM669" s="604">
        <f t="shared" ref="AM669" si="291">IF(ISBLANK(AK669),0,AH669)</f>
        <v>0</v>
      </c>
      <c r="AN669" s="607"/>
      <c r="AO669" s="608"/>
      <c r="AP669" s="599"/>
      <c r="AQ669" s="608"/>
      <c r="AR669" s="599"/>
      <c r="AS669" s="608"/>
      <c r="AT669" s="599"/>
      <c r="AU669" s="608"/>
      <c r="AV669" s="601">
        <f t="shared" ref="AV669" si="292">SUM(AN669,AP669,AR669,AT669)</f>
        <v>0</v>
      </c>
      <c r="AW669" s="609">
        <f t="shared" ref="AW669" si="293">+AV669/24</f>
        <v>0</v>
      </c>
      <c r="AX669" s="603">
        <f t="shared" ref="AX669" si="294">SUM(AO669,AQ669,AS669,AU669)</f>
        <v>0</v>
      </c>
      <c r="AY669" s="610">
        <f t="shared" ref="AY669" si="295">+AX669/24</f>
        <v>0</v>
      </c>
      <c r="AZ669" s="611">
        <f t="shared" ref="AZ669" si="296">SUM(Q669,AG669,AW669)</f>
        <v>8592.7333333333336</v>
      </c>
      <c r="BA669" s="603">
        <f t="shared" ref="BA669" si="297">SUM(S669,AI669,AY669)</f>
        <v>8697.5666666666675</v>
      </c>
    </row>
    <row r="670" spans="1:53">
      <c r="A670" s="522" t="s">
        <v>166</v>
      </c>
      <c r="B670" s="622" t="s">
        <v>883</v>
      </c>
      <c r="C670" s="623"/>
      <c r="D670" s="522">
        <v>233338</v>
      </c>
      <c r="E670" s="777" t="s">
        <v>167</v>
      </c>
      <c r="F670" s="515" t="s">
        <v>52</v>
      </c>
      <c r="G670" s="516" t="s">
        <v>52</v>
      </c>
      <c r="H670" s="599"/>
      <c r="I670" s="525"/>
      <c r="J670" s="628">
        <f t="shared" ref="J670:O670" si="298">+J664</f>
        <v>24645</v>
      </c>
      <c r="K670" s="629">
        <f t="shared" si="298"/>
        <v>26314</v>
      </c>
      <c r="L670" s="628">
        <f t="shared" si="298"/>
        <v>4982</v>
      </c>
      <c r="M670" s="629">
        <f t="shared" si="298"/>
        <v>6466</v>
      </c>
      <c r="N670" s="628">
        <f t="shared" si="298"/>
        <v>28641</v>
      </c>
      <c r="O670" s="629">
        <f t="shared" si="298"/>
        <v>28026</v>
      </c>
      <c r="P670" s="601">
        <f t="shared" si="223"/>
        <v>58268</v>
      </c>
      <c r="Q670" s="602">
        <f t="shared" si="224"/>
        <v>1942.2666666666667</v>
      </c>
      <c r="R670" s="603">
        <f t="shared" ref="R670:R692" si="299">SUM(I670,K670,M670,O670)</f>
        <v>60806</v>
      </c>
      <c r="S670" s="604">
        <f t="shared" si="225"/>
        <v>2026.8666666666666</v>
      </c>
      <c r="T670" s="628">
        <f>+T664</f>
        <v>27222</v>
      </c>
      <c r="U670" s="629">
        <f>+U664</f>
        <v>39065</v>
      </c>
      <c r="V670" s="601">
        <f t="shared" si="226"/>
        <v>58268</v>
      </c>
      <c r="W670" s="605">
        <f t="shared" si="227"/>
        <v>60806</v>
      </c>
      <c r="X670" s="519"/>
      <c r="Y670" s="525"/>
      <c r="Z670" s="517"/>
      <c r="AA670" s="525"/>
      <c r="AB670" s="517"/>
      <c r="AC670" s="525"/>
      <c r="AD670" s="517"/>
      <c r="AE670" s="525"/>
      <c r="AF670" s="601">
        <f t="shared" si="228"/>
        <v>0</v>
      </c>
      <c r="AG670" s="602">
        <f t="shared" si="229"/>
        <v>0</v>
      </c>
      <c r="AH670" s="603">
        <f t="shared" si="230"/>
        <v>0</v>
      </c>
      <c r="AI670" s="603">
        <f t="shared" si="231"/>
        <v>0</v>
      </c>
      <c r="AJ670" s="517"/>
      <c r="AK670" s="525"/>
      <c r="AL670" s="601">
        <f t="shared" si="232"/>
        <v>0</v>
      </c>
      <c r="AM670" s="604">
        <f t="shared" si="233"/>
        <v>0</v>
      </c>
      <c r="AN670" s="520"/>
      <c r="AO670" s="526"/>
      <c r="AP670" s="517"/>
      <c r="AQ670" s="526">
        <v>0</v>
      </c>
      <c r="AR670" s="517"/>
      <c r="AS670" s="526"/>
      <c r="AT670" s="517"/>
      <c r="AU670" s="526"/>
      <c r="AV670" s="601">
        <f t="shared" si="234"/>
        <v>0</v>
      </c>
      <c r="AW670" s="609">
        <f t="shared" si="235"/>
        <v>0</v>
      </c>
      <c r="AX670" s="603">
        <f t="shared" si="236"/>
        <v>0</v>
      </c>
      <c r="AY670" s="610">
        <f t="shared" si="237"/>
        <v>0</v>
      </c>
      <c r="AZ670" s="611">
        <f t="shared" si="238"/>
        <v>1942.2666666666667</v>
      </c>
      <c r="BA670" s="603">
        <f t="shared" si="239"/>
        <v>2026.8666666666666</v>
      </c>
    </row>
    <row r="671" spans="1:53">
      <c r="A671" s="522" t="s">
        <v>166</v>
      </c>
      <c r="B671" s="624" t="s">
        <v>884</v>
      </c>
      <c r="C671" s="625"/>
      <c r="D671" s="763" t="s">
        <v>1011</v>
      </c>
      <c r="E671" s="778">
        <v>11</v>
      </c>
      <c r="F671" s="515" t="s">
        <v>52</v>
      </c>
      <c r="G671" s="516" t="s">
        <v>52</v>
      </c>
      <c r="H671" s="472"/>
      <c r="I671" s="466"/>
      <c r="J671" s="472">
        <f t="shared" ref="J671:O671" si="300">SUM(J643:J666)-J670</f>
        <v>1563385</v>
      </c>
      <c r="K671" s="466">
        <f t="shared" si="300"/>
        <v>1607648</v>
      </c>
      <c r="L671" s="466">
        <f t="shared" si="300"/>
        <v>476937</v>
      </c>
      <c r="M671" s="466">
        <f t="shared" si="300"/>
        <v>533413</v>
      </c>
      <c r="N671" s="466">
        <f t="shared" si="300"/>
        <v>1685016</v>
      </c>
      <c r="O671" s="466">
        <f t="shared" si="300"/>
        <v>1707250</v>
      </c>
      <c r="P671" s="601">
        <f t="shared" si="223"/>
        <v>3725338</v>
      </c>
      <c r="Q671" s="602">
        <f t="shared" si="224"/>
        <v>124177.93333333333</v>
      </c>
      <c r="R671" s="603">
        <f t="shared" si="299"/>
        <v>3848311</v>
      </c>
      <c r="S671" s="604">
        <f t="shared" si="225"/>
        <v>128277.03333333334</v>
      </c>
      <c r="T671" s="466">
        <f>SUM(T643:T666)-T670</f>
        <v>390846</v>
      </c>
      <c r="U671" s="466">
        <f>SUM(U643:U666)-U670</f>
        <v>516361</v>
      </c>
      <c r="V671" s="601">
        <f t="shared" si="226"/>
        <v>3725338</v>
      </c>
      <c r="W671" s="605">
        <f t="shared" si="227"/>
        <v>3848311</v>
      </c>
      <c r="X671" s="519"/>
      <c r="Y671" s="525"/>
      <c r="Z671" s="517"/>
      <c r="AA671" s="525"/>
      <c r="AB671" s="517"/>
      <c r="AC671" s="525"/>
      <c r="AD671" s="517"/>
      <c r="AE671" s="525"/>
      <c r="AF671" s="601">
        <f t="shared" si="228"/>
        <v>0</v>
      </c>
      <c r="AG671" s="602">
        <f t="shared" si="229"/>
        <v>0</v>
      </c>
      <c r="AH671" s="603">
        <f t="shared" si="230"/>
        <v>0</v>
      </c>
      <c r="AI671" s="603">
        <f t="shared" si="231"/>
        <v>0</v>
      </c>
      <c r="AJ671" s="517"/>
      <c r="AK671" s="525"/>
      <c r="AL671" s="601">
        <f t="shared" si="232"/>
        <v>0</v>
      </c>
      <c r="AM671" s="604">
        <f t="shared" si="233"/>
        <v>0</v>
      </c>
      <c r="AN671" s="520"/>
      <c r="AO671" s="526"/>
      <c r="AP671" s="517"/>
      <c r="AQ671" s="526"/>
      <c r="AR671" s="517"/>
      <c r="AS671" s="526"/>
      <c r="AT671" s="517"/>
      <c r="AU671" s="526"/>
      <c r="AV671" s="601">
        <f t="shared" si="234"/>
        <v>0</v>
      </c>
      <c r="AW671" s="609">
        <f t="shared" si="235"/>
        <v>0</v>
      </c>
      <c r="AX671" s="603">
        <f t="shared" si="236"/>
        <v>0</v>
      </c>
      <c r="AY671" s="610">
        <f t="shared" si="237"/>
        <v>0</v>
      </c>
      <c r="AZ671" s="611">
        <f t="shared" si="238"/>
        <v>124177.93333333333</v>
      </c>
      <c r="BA671" s="603">
        <f t="shared" si="239"/>
        <v>128277.03333333334</v>
      </c>
    </row>
    <row r="672" spans="1:53">
      <c r="A672" s="430" t="s">
        <v>165</v>
      </c>
      <c r="B672" s="431" t="s">
        <v>698</v>
      </c>
      <c r="C672" s="431"/>
      <c r="D672" s="433">
        <v>238032</v>
      </c>
      <c r="E672" s="433">
        <v>1</v>
      </c>
      <c r="F672" s="296" t="s">
        <v>52</v>
      </c>
      <c r="G672" s="297" t="s">
        <v>52</v>
      </c>
      <c r="H672" s="599"/>
      <c r="I672" s="299"/>
      <c r="J672" s="298">
        <v>286279</v>
      </c>
      <c r="K672" s="299">
        <v>292311</v>
      </c>
      <c r="L672" s="298">
        <v>39450</v>
      </c>
      <c r="M672" s="299">
        <v>40962</v>
      </c>
      <c r="N672" s="298">
        <v>317706</v>
      </c>
      <c r="O672" s="299">
        <v>322365</v>
      </c>
      <c r="P672" s="601">
        <f t="shared" si="223"/>
        <v>643435</v>
      </c>
      <c r="Q672" s="602">
        <f t="shared" si="224"/>
        <v>21447.833333333332</v>
      </c>
      <c r="R672" s="603">
        <f t="shared" si="299"/>
        <v>655638</v>
      </c>
      <c r="S672" s="604">
        <f t="shared" si="225"/>
        <v>21854.6</v>
      </c>
      <c r="T672" s="298">
        <v>2849</v>
      </c>
      <c r="U672" s="299">
        <v>3023</v>
      </c>
      <c r="V672" s="601">
        <f t="shared" si="226"/>
        <v>643435</v>
      </c>
      <c r="W672" s="605">
        <f t="shared" si="227"/>
        <v>655638</v>
      </c>
      <c r="X672" s="305"/>
      <c r="Y672" s="299"/>
      <c r="Z672" s="298"/>
      <c r="AA672" s="299"/>
      <c r="AB672" s="298"/>
      <c r="AC672" s="299"/>
      <c r="AD672" s="298"/>
      <c r="AE672" s="299"/>
      <c r="AF672" s="601">
        <f t="shared" si="228"/>
        <v>0</v>
      </c>
      <c r="AG672" s="602">
        <f t="shared" si="229"/>
        <v>0</v>
      </c>
      <c r="AH672" s="603">
        <f t="shared" si="230"/>
        <v>0</v>
      </c>
      <c r="AI672" s="603">
        <f t="shared" si="231"/>
        <v>0</v>
      </c>
      <c r="AJ672" s="298"/>
      <c r="AK672" s="299"/>
      <c r="AL672" s="601">
        <f t="shared" si="232"/>
        <v>0</v>
      </c>
      <c r="AM672" s="604">
        <f t="shared" si="233"/>
        <v>0</v>
      </c>
      <c r="AN672" s="306"/>
      <c r="AO672" s="307"/>
      <c r="AP672" s="298">
        <v>49485</v>
      </c>
      <c r="AQ672" s="307">
        <v>50008</v>
      </c>
      <c r="AR672" s="298">
        <v>20764</v>
      </c>
      <c r="AS672" s="307">
        <v>19728</v>
      </c>
      <c r="AT672" s="298">
        <v>49027</v>
      </c>
      <c r="AU672" s="307">
        <v>48627</v>
      </c>
      <c r="AV672" s="601">
        <f t="shared" si="234"/>
        <v>119276</v>
      </c>
      <c r="AW672" s="609">
        <f t="shared" si="235"/>
        <v>4969.833333333333</v>
      </c>
      <c r="AX672" s="603">
        <f t="shared" si="236"/>
        <v>118363</v>
      </c>
      <c r="AY672" s="610">
        <f t="shared" si="237"/>
        <v>4931.791666666667</v>
      </c>
      <c r="AZ672" s="611">
        <f t="shared" si="238"/>
        <v>26417.666666666664</v>
      </c>
      <c r="BA672" s="603">
        <f t="shared" si="239"/>
        <v>26786.391666666666</v>
      </c>
    </row>
    <row r="673" spans="1:53">
      <c r="A673" s="430" t="s">
        <v>165</v>
      </c>
      <c r="B673" s="431" t="s">
        <v>699</v>
      </c>
      <c r="C673" s="431"/>
      <c r="D673" s="433">
        <v>237525</v>
      </c>
      <c r="E673" s="433">
        <v>3</v>
      </c>
      <c r="F673" s="296" t="s">
        <v>52</v>
      </c>
      <c r="G673" s="297" t="s">
        <v>52</v>
      </c>
      <c r="H673" s="298"/>
      <c r="I673" s="299"/>
      <c r="J673" s="298">
        <v>114880</v>
      </c>
      <c r="K673" s="299">
        <v>119513</v>
      </c>
      <c r="L673" s="298">
        <v>18137</v>
      </c>
      <c r="M673" s="299">
        <v>19524</v>
      </c>
      <c r="N673" s="298">
        <v>131155</v>
      </c>
      <c r="O673" s="299">
        <v>131409</v>
      </c>
      <c r="P673" s="601">
        <f t="shared" si="223"/>
        <v>264172</v>
      </c>
      <c r="Q673" s="602">
        <f t="shared" si="224"/>
        <v>8805.7333333333336</v>
      </c>
      <c r="R673" s="603">
        <f t="shared" si="299"/>
        <v>270446</v>
      </c>
      <c r="S673" s="604">
        <f t="shared" si="225"/>
        <v>9014.8666666666668</v>
      </c>
      <c r="T673" s="298">
        <v>4279</v>
      </c>
      <c r="U673" s="299">
        <v>4055</v>
      </c>
      <c r="V673" s="601">
        <f t="shared" si="226"/>
        <v>264172</v>
      </c>
      <c r="W673" s="605">
        <f t="shared" si="227"/>
        <v>270446</v>
      </c>
      <c r="X673" s="305"/>
      <c r="Y673" s="299"/>
      <c r="Z673" s="298"/>
      <c r="AA673" s="299"/>
      <c r="AB673" s="298"/>
      <c r="AC673" s="299"/>
      <c r="AD673" s="298"/>
      <c r="AE673" s="299"/>
      <c r="AF673" s="601">
        <f t="shared" si="228"/>
        <v>0</v>
      </c>
      <c r="AG673" s="602">
        <f t="shared" si="229"/>
        <v>0</v>
      </c>
      <c r="AH673" s="603">
        <f t="shared" si="230"/>
        <v>0</v>
      </c>
      <c r="AI673" s="603">
        <f t="shared" si="231"/>
        <v>0</v>
      </c>
      <c r="AJ673" s="298"/>
      <c r="AK673" s="299"/>
      <c r="AL673" s="601">
        <f t="shared" si="232"/>
        <v>0</v>
      </c>
      <c r="AM673" s="604">
        <f t="shared" si="233"/>
        <v>0</v>
      </c>
      <c r="AN673" s="306"/>
      <c r="AO673" s="307"/>
      <c r="AP673" s="298">
        <v>23148</v>
      </c>
      <c r="AQ673" s="307">
        <v>24072</v>
      </c>
      <c r="AR673" s="298">
        <v>12721</v>
      </c>
      <c r="AS673" s="307">
        <v>12682</v>
      </c>
      <c r="AT673" s="298">
        <v>23595</v>
      </c>
      <c r="AU673" s="307">
        <v>21984</v>
      </c>
      <c r="AV673" s="601">
        <f t="shared" si="234"/>
        <v>59464</v>
      </c>
      <c r="AW673" s="609">
        <f t="shared" si="235"/>
        <v>2477.6666666666665</v>
      </c>
      <c r="AX673" s="603">
        <f t="shared" si="236"/>
        <v>58738</v>
      </c>
      <c r="AY673" s="610">
        <f t="shared" si="237"/>
        <v>2447.4166666666665</v>
      </c>
      <c r="AZ673" s="611">
        <f t="shared" si="238"/>
        <v>11283.4</v>
      </c>
      <c r="BA673" s="603">
        <f t="shared" si="239"/>
        <v>11462.283333333333</v>
      </c>
    </row>
    <row r="674" spans="1:53">
      <c r="A674" s="430" t="s">
        <v>165</v>
      </c>
      <c r="B674" s="431" t="s">
        <v>700</v>
      </c>
      <c r="C674" s="431"/>
      <c r="D674" s="433">
        <v>237367</v>
      </c>
      <c r="E674" s="433">
        <v>5</v>
      </c>
      <c r="F674" s="296" t="s">
        <v>52</v>
      </c>
      <c r="G674" s="297" t="s">
        <v>52</v>
      </c>
      <c r="H674" s="298"/>
      <c r="I674" s="299"/>
      <c r="J674" s="298">
        <v>54199</v>
      </c>
      <c r="K674" s="299">
        <v>54393</v>
      </c>
      <c r="L674" s="298">
        <v>6405</v>
      </c>
      <c r="M674" s="299">
        <v>7303</v>
      </c>
      <c r="N674" s="298">
        <v>59154</v>
      </c>
      <c r="O674" s="299">
        <v>57398</v>
      </c>
      <c r="P674" s="601">
        <f t="shared" si="223"/>
        <v>119758</v>
      </c>
      <c r="Q674" s="602">
        <f t="shared" si="224"/>
        <v>3991.9333333333334</v>
      </c>
      <c r="R674" s="603">
        <f t="shared" si="299"/>
        <v>119094</v>
      </c>
      <c r="S674" s="604">
        <f t="shared" si="225"/>
        <v>3969.8</v>
      </c>
      <c r="T674" s="298">
        <v>5</v>
      </c>
      <c r="U674" s="299">
        <v>55</v>
      </c>
      <c r="V674" s="601">
        <f t="shared" si="226"/>
        <v>119758</v>
      </c>
      <c r="W674" s="605">
        <f t="shared" si="227"/>
        <v>119094</v>
      </c>
      <c r="X674" s="305"/>
      <c r="Y674" s="299"/>
      <c r="Z674" s="298"/>
      <c r="AA674" s="299"/>
      <c r="AB674" s="298"/>
      <c r="AC674" s="299"/>
      <c r="AD674" s="298"/>
      <c r="AE674" s="299"/>
      <c r="AF674" s="601">
        <f t="shared" si="228"/>
        <v>0</v>
      </c>
      <c r="AG674" s="602">
        <f t="shared" si="229"/>
        <v>0</v>
      </c>
      <c r="AH674" s="603">
        <f t="shared" si="230"/>
        <v>0</v>
      </c>
      <c r="AI674" s="603">
        <f t="shared" si="231"/>
        <v>0</v>
      </c>
      <c r="AJ674" s="298"/>
      <c r="AK674" s="299"/>
      <c r="AL674" s="601">
        <f t="shared" si="232"/>
        <v>0</v>
      </c>
      <c r="AM674" s="604">
        <f t="shared" si="233"/>
        <v>0</v>
      </c>
      <c r="AN674" s="306"/>
      <c r="AO674" s="307"/>
      <c r="AP674" s="298">
        <v>2164</v>
      </c>
      <c r="AQ674" s="307">
        <v>2053</v>
      </c>
      <c r="AR674" s="298">
        <v>1033</v>
      </c>
      <c r="AS674" s="307">
        <v>1063</v>
      </c>
      <c r="AT674" s="298">
        <v>2178</v>
      </c>
      <c r="AU674" s="307">
        <v>2369</v>
      </c>
      <c r="AV674" s="601">
        <f t="shared" si="234"/>
        <v>5375</v>
      </c>
      <c r="AW674" s="609">
        <f t="shared" si="235"/>
        <v>223.95833333333334</v>
      </c>
      <c r="AX674" s="603">
        <f t="shared" si="236"/>
        <v>5485</v>
      </c>
      <c r="AY674" s="610">
        <f t="shared" si="237"/>
        <v>228.54166666666666</v>
      </c>
      <c r="AZ674" s="611">
        <f t="shared" si="238"/>
        <v>4215.8916666666664</v>
      </c>
      <c r="BA674" s="603">
        <f t="shared" si="239"/>
        <v>4198.3416666666672</v>
      </c>
    </row>
    <row r="675" spans="1:53">
      <c r="A675" s="430" t="s">
        <v>165</v>
      </c>
      <c r="B675" s="434" t="s">
        <v>701</v>
      </c>
      <c r="C675" s="432"/>
      <c r="D675" s="433">
        <v>237792</v>
      </c>
      <c r="E675" s="482">
        <v>5</v>
      </c>
      <c r="F675" s="296" t="s">
        <v>52</v>
      </c>
      <c r="G675" s="297" t="s">
        <v>52</v>
      </c>
      <c r="H675" s="298"/>
      <c r="I675" s="299"/>
      <c r="J675" s="298">
        <v>50769.5</v>
      </c>
      <c r="K675" s="299">
        <v>52147</v>
      </c>
      <c r="L675" s="298">
        <v>4064</v>
      </c>
      <c r="M675" s="299">
        <v>4462</v>
      </c>
      <c r="N675" s="298">
        <v>55600</v>
      </c>
      <c r="O675" s="299">
        <v>56757.5</v>
      </c>
      <c r="P675" s="601">
        <f t="shared" si="223"/>
        <v>110433.5</v>
      </c>
      <c r="Q675" s="602">
        <f t="shared" si="224"/>
        <v>3681.1166666666668</v>
      </c>
      <c r="R675" s="603">
        <f t="shared" si="299"/>
        <v>113366.5</v>
      </c>
      <c r="S675" s="604">
        <f t="shared" si="225"/>
        <v>3778.8833333333332</v>
      </c>
      <c r="T675" s="298">
        <v>68</v>
      </c>
      <c r="U675" s="299">
        <v>53</v>
      </c>
      <c r="V675" s="601">
        <f t="shared" si="226"/>
        <v>110433.5</v>
      </c>
      <c r="W675" s="605">
        <f t="shared" si="227"/>
        <v>113366.5</v>
      </c>
      <c r="X675" s="305"/>
      <c r="Y675" s="299"/>
      <c r="Z675" s="298"/>
      <c r="AA675" s="299"/>
      <c r="AB675" s="298"/>
      <c r="AC675" s="299"/>
      <c r="AD675" s="298"/>
      <c r="AE675" s="299"/>
      <c r="AF675" s="601">
        <f t="shared" si="228"/>
        <v>0</v>
      </c>
      <c r="AG675" s="602">
        <f t="shared" si="229"/>
        <v>0</v>
      </c>
      <c r="AH675" s="603">
        <f t="shared" si="230"/>
        <v>0</v>
      </c>
      <c r="AI675" s="603">
        <f t="shared" si="231"/>
        <v>0</v>
      </c>
      <c r="AJ675" s="298"/>
      <c r="AK675" s="299"/>
      <c r="AL675" s="601">
        <f t="shared" si="232"/>
        <v>0</v>
      </c>
      <c r="AM675" s="604">
        <f t="shared" si="233"/>
        <v>0</v>
      </c>
      <c r="AN675" s="306"/>
      <c r="AO675" s="307"/>
      <c r="AP675" s="298">
        <v>916</v>
      </c>
      <c r="AQ675" s="307">
        <v>893</v>
      </c>
      <c r="AR675" s="298">
        <v>347</v>
      </c>
      <c r="AS675" s="307">
        <v>475</v>
      </c>
      <c r="AT675" s="298">
        <v>950</v>
      </c>
      <c r="AU675" s="307">
        <v>938</v>
      </c>
      <c r="AV675" s="601">
        <f t="shared" si="234"/>
        <v>2213</v>
      </c>
      <c r="AW675" s="609">
        <f t="shared" si="235"/>
        <v>92.208333333333329</v>
      </c>
      <c r="AX675" s="603">
        <f t="shared" si="236"/>
        <v>2306</v>
      </c>
      <c r="AY675" s="610">
        <f t="shared" si="237"/>
        <v>96.083333333333329</v>
      </c>
      <c r="AZ675" s="611">
        <f t="shared" si="238"/>
        <v>3773.3250000000003</v>
      </c>
      <c r="BA675" s="603">
        <f t="shared" si="239"/>
        <v>3874.9666666666667</v>
      </c>
    </row>
    <row r="676" spans="1:53">
      <c r="A676" s="430" t="s">
        <v>165</v>
      </c>
      <c r="B676" s="431" t="s">
        <v>702</v>
      </c>
      <c r="C676" s="432"/>
      <c r="D676" s="433">
        <v>237215</v>
      </c>
      <c r="E676" s="433">
        <v>6</v>
      </c>
      <c r="F676" s="296" t="s">
        <v>52</v>
      </c>
      <c r="G676" s="297" t="s">
        <v>52</v>
      </c>
      <c r="H676" s="298"/>
      <c r="I676" s="299"/>
      <c r="J676" s="298">
        <v>25644</v>
      </c>
      <c r="K676" s="299">
        <v>24279</v>
      </c>
      <c r="L676" s="298">
        <v>4037</v>
      </c>
      <c r="M676" s="299">
        <v>3834</v>
      </c>
      <c r="N676" s="298">
        <v>26354</v>
      </c>
      <c r="O676" s="299">
        <v>25568</v>
      </c>
      <c r="P676" s="601">
        <f t="shared" si="223"/>
        <v>56035</v>
      </c>
      <c r="Q676" s="602">
        <f t="shared" si="224"/>
        <v>1867.8333333333333</v>
      </c>
      <c r="R676" s="603">
        <f t="shared" si="299"/>
        <v>53681</v>
      </c>
      <c r="S676" s="604">
        <f t="shared" si="225"/>
        <v>1789.3666666666666</v>
      </c>
      <c r="T676" s="298">
        <v>396</v>
      </c>
      <c r="U676" s="299">
        <v>275</v>
      </c>
      <c r="V676" s="601">
        <f t="shared" si="226"/>
        <v>56035</v>
      </c>
      <c r="W676" s="605">
        <f t="shared" si="227"/>
        <v>53681</v>
      </c>
      <c r="X676" s="305"/>
      <c r="Y676" s="299"/>
      <c r="Z676" s="298"/>
      <c r="AA676" s="299"/>
      <c r="AB676" s="298"/>
      <c r="AC676" s="299"/>
      <c r="AD676" s="298"/>
      <c r="AE676" s="299"/>
      <c r="AF676" s="601">
        <f t="shared" si="228"/>
        <v>0</v>
      </c>
      <c r="AG676" s="602">
        <f t="shared" si="229"/>
        <v>0</v>
      </c>
      <c r="AH676" s="603">
        <f t="shared" si="230"/>
        <v>0</v>
      </c>
      <c r="AI676" s="603">
        <f t="shared" si="231"/>
        <v>0</v>
      </c>
      <c r="AJ676" s="298"/>
      <c r="AK676" s="299"/>
      <c r="AL676" s="601">
        <f t="shared" si="232"/>
        <v>0</v>
      </c>
      <c r="AM676" s="604">
        <f t="shared" si="233"/>
        <v>0</v>
      </c>
      <c r="AN676" s="306"/>
      <c r="AO676" s="307"/>
      <c r="AP676" s="298"/>
      <c r="AQ676" s="307"/>
      <c r="AR676" s="298"/>
      <c r="AS676" s="307"/>
      <c r="AT676" s="298"/>
      <c r="AU676" s="307"/>
      <c r="AV676" s="601">
        <f t="shared" si="234"/>
        <v>0</v>
      </c>
      <c r="AW676" s="609">
        <f t="shared" si="235"/>
        <v>0</v>
      </c>
      <c r="AX676" s="603">
        <f t="shared" si="236"/>
        <v>0</v>
      </c>
      <c r="AY676" s="610">
        <f t="shared" si="237"/>
        <v>0</v>
      </c>
      <c r="AZ676" s="611">
        <f t="shared" si="238"/>
        <v>1867.8333333333333</v>
      </c>
      <c r="BA676" s="603">
        <f t="shared" si="239"/>
        <v>1789.3666666666666</v>
      </c>
    </row>
    <row r="677" spans="1:53">
      <c r="A677" s="430" t="s">
        <v>165</v>
      </c>
      <c r="B677" s="431" t="s">
        <v>703</v>
      </c>
      <c r="C677" s="432"/>
      <c r="D677" s="433">
        <v>237330</v>
      </c>
      <c r="E677" s="433">
        <v>6</v>
      </c>
      <c r="F677" s="296" t="s">
        <v>52</v>
      </c>
      <c r="G677" s="297" t="s">
        <v>52</v>
      </c>
      <c r="H677" s="298"/>
      <c r="I677" s="299"/>
      <c r="J677" s="298">
        <v>36705</v>
      </c>
      <c r="K677" s="299">
        <v>37071</v>
      </c>
      <c r="L677" s="298">
        <v>3810</v>
      </c>
      <c r="M677" s="299">
        <v>4258</v>
      </c>
      <c r="N677" s="298">
        <v>39652</v>
      </c>
      <c r="O677" s="299">
        <v>39794</v>
      </c>
      <c r="P677" s="601">
        <f t="shared" si="223"/>
        <v>80167</v>
      </c>
      <c r="Q677" s="602">
        <f t="shared" si="224"/>
        <v>2672.2333333333331</v>
      </c>
      <c r="R677" s="603">
        <f t="shared" si="299"/>
        <v>81123</v>
      </c>
      <c r="S677" s="604">
        <f t="shared" si="225"/>
        <v>2704.1</v>
      </c>
      <c r="T677" s="298">
        <v>852</v>
      </c>
      <c r="U677" s="299">
        <v>916</v>
      </c>
      <c r="V677" s="601">
        <f t="shared" si="226"/>
        <v>80167</v>
      </c>
      <c r="W677" s="605">
        <f t="shared" si="227"/>
        <v>81123</v>
      </c>
      <c r="X677" s="305"/>
      <c r="Y677" s="299"/>
      <c r="Z677" s="298"/>
      <c r="AA677" s="299"/>
      <c r="AB677" s="298"/>
      <c r="AC677" s="299"/>
      <c r="AD677" s="298"/>
      <c r="AE677" s="299"/>
      <c r="AF677" s="601">
        <f t="shared" si="228"/>
        <v>0</v>
      </c>
      <c r="AG677" s="602">
        <f t="shared" si="229"/>
        <v>0</v>
      </c>
      <c r="AH677" s="603">
        <f t="shared" si="230"/>
        <v>0</v>
      </c>
      <c r="AI677" s="603">
        <f t="shared" si="231"/>
        <v>0</v>
      </c>
      <c r="AJ677" s="298"/>
      <c r="AK677" s="299"/>
      <c r="AL677" s="601">
        <f t="shared" si="232"/>
        <v>0</v>
      </c>
      <c r="AM677" s="604">
        <f t="shared" si="233"/>
        <v>0</v>
      </c>
      <c r="AN677" s="306"/>
      <c r="AO677" s="307"/>
      <c r="AP677" s="298">
        <v>1024</v>
      </c>
      <c r="AQ677" s="307">
        <v>1191</v>
      </c>
      <c r="AR677" s="298">
        <v>726</v>
      </c>
      <c r="AS677" s="307">
        <v>1365</v>
      </c>
      <c r="AT677" s="298">
        <v>1169</v>
      </c>
      <c r="AU677" s="307">
        <v>1814</v>
      </c>
      <c r="AV677" s="601">
        <f t="shared" si="234"/>
        <v>2919</v>
      </c>
      <c r="AW677" s="609">
        <f t="shared" si="235"/>
        <v>121.625</v>
      </c>
      <c r="AX677" s="603">
        <f t="shared" si="236"/>
        <v>4370</v>
      </c>
      <c r="AY677" s="610">
        <f t="shared" si="237"/>
        <v>182.08333333333334</v>
      </c>
      <c r="AZ677" s="611">
        <f t="shared" si="238"/>
        <v>2793.8583333333331</v>
      </c>
      <c r="BA677" s="603">
        <f t="shared" si="239"/>
        <v>2886.1833333333334</v>
      </c>
    </row>
    <row r="678" spans="1:53">
      <c r="A678" s="430" t="s">
        <v>165</v>
      </c>
      <c r="B678" s="431" t="s">
        <v>704</v>
      </c>
      <c r="C678" s="432"/>
      <c r="D678" s="433">
        <v>237385</v>
      </c>
      <c r="E678" s="433">
        <v>6</v>
      </c>
      <c r="F678" s="296" t="s">
        <v>52</v>
      </c>
      <c r="G678" s="297" t="s">
        <v>52</v>
      </c>
      <c r="H678" s="298"/>
      <c r="I678" s="299"/>
      <c r="J678" s="298">
        <v>19673</v>
      </c>
      <c r="K678" s="299">
        <v>20427.099999999999</v>
      </c>
      <c r="L678" s="298">
        <v>2879.4</v>
      </c>
      <c r="M678" s="299">
        <v>3115</v>
      </c>
      <c r="N678" s="298">
        <v>22106</v>
      </c>
      <c r="O678" s="299">
        <v>21475.1</v>
      </c>
      <c r="P678" s="601">
        <f t="shared" si="223"/>
        <v>44658.400000000001</v>
      </c>
      <c r="Q678" s="602">
        <f t="shared" si="224"/>
        <v>1488.6133333333335</v>
      </c>
      <c r="R678" s="603">
        <f t="shared" si="299"/>
        <v>45017.2</v>
      </c>
      <c r="S678" s="604">
        <f t="shared" si="225"/>
        <v>1500.5733333333333</v>
      </c>
      <c r="T678" s="298">
        <v>1665</v>
      </c>
      <c r="U678" s="299">
        <v>1366</v>
      </c>
      <c r="V678" s="601">
        <f t="shared" si="226"/>
        <v>44658.400000000001</v>
      </c>
      <c r="W678" s="605">
        <f t="shared" si="227"/>
        <v>45017.2</v>
      </c>
      <c r="X678" s="305"/>
      <c r="Y678" s="299"/>
      <c r="Z678" s="298"/>
      <c r="AA678" s="299"/>
      <c r="AB678" s="298"/>
      <c r="AC678" s="299"/>
      <c r="AD678" s="298"/>
      <c r="AE678" s="299"/>
      <c r="AF678" s="601">
        <f t="shared" si="228"/>
        <v>0</v>
      </c>
      <c r="AG678" s="602">
        <f t="shared" si="229"/>
        <v>0</v>
      </c>
      <c r="AH678" s="603">
        <f t="shared" si="230"/>
        <v>0</v>
      </c>
      <c r="AI678" s="603">
        <f t="shared" si="231"/>
        <v>0</v>
      </c>
      <c r="AJ678" s="298"/>
      <c r="AK678" s="299"/>
      <c r="AL678" s="601">
        <f t="shared" si="232"/>
        <v>0</v>
      </c>
      <c r="AM678" s="604">
        <f t="shared" si="233"/>
        <v>0</v>
      </c>
      <c r="AN678" s="306"/>
      <c r="AO678" s="307"/>
      <c r="AP678" s="298"/>
      <c r="AQ678" s="307"/>
      <c r="AR678" s="298"/>
      <c r="AS678" s="307"/>
      <c r="AT678" s="298"/>
      <c r="AU678" s="307"/>
      <c r="AV678" s="601">
        <f t="shared" si="234"/>
        <v>0</v>
      </c>
      <c r="AW678" s="609">
        <f t="shared" si="235"/>
        <v>0</v>
      </c>
      <c r="AX678" s="603">
        <f t="shared" si="236"/>
        <v>0</v>
      </c>
      <c r="AY678" s="610">
        <f t="shared" si="237"/>
        <v>0</v>
      </c>
      <c r="AZ678" s="611">
        <f t="shared" si="238"/>
        <v>1488.6133333333335</v>
      </c>
      <c r="BA678" s="603">
        <f t="shared" si="239"/>
        <v>1500.5733333333333</v>
      </c>
    </row>
    <row r="679" spans="1:53">
      <c r="A679" s="430" t="s">
        <v>165</v>
      </c>
      <c r="B679" s="431" t="s">
        <v>705</v>
      </c>
      <c r="C679" s="432"/>
      <c r="D679" s="433">
        <v>237932</v>
      </c>
      <c r="E679" s="433">
        <v>6</v>
      </c>
      <c r="F679" s="296" t="s">
        <v>52</v>
      </c>
      <c r="G679" s="297" t="s">
        <v>52</v>
      </c>
      <c r="H679" s="298"/>
      <c r="I679" s="299"/>
      <c r="J679" s="298">
        <v>34436</v>
      </c>
      <c r="K679" s="299">
        <v>35259</v>
      </c>
      <c r="L679" s="298">
        <v>2373</v>
      </c>
      <c r="M679" s="299">
        <v>2100</v>
      </c>
      <c r="N679" s="298">
        <v>39268</v>
      </c>
      <c r="O679" s="299">
        <v>39454</v>
      </c>
      <c r="P679" s="601">
        <f t="shared" si="223"/>
        <v>76077</v>
      </c>
      <c r="Q679" s="602">
        <f t="shared" si="224"/>
        <v>2535.9</v>
      </c>
      <c r="R679" s="603">
        <f t="shared" si="299"/>
        <v>76813</v>
      </c>
      <c r="S679" s="604">
        <f t="shared" si="225"/>
        <v>2560.4333333333334</v>
      </c>
      <c r="T679" s="298">
        <v>1155</v>
      </c>
      <c r="U679" s="299">
        <v>1049</v>
      </c>
      <c r="V679" s="601">
        <f t="shared" si="226"/>
        <v>76077</v>
      </c>
      <c r="W679" s="605">
        <f t="shared" si="227"/>
        <v>76813</v>
      </c>
      <c r="X679" s="305"/>
      <c r="Y679" s="299"/>
      <c r="Z679" s="298"/>
      <c r="AA679" s="299"/>
      <c r="AB679" s="298"/>
      <c r="AC679" s="299"/>
      <c r="AD679" s="298"/>
      <c r="AE679" s="299"/>
      <c r="AF679" s="601">
        <f t="shared" si="228"/>
        <v>0</v>
      </c>
      <c r="AG679" s="602">
        <f t="shared" si="229"/>
        <v>0</v>
      </c>
      <c r="AH679" s="603">
        <f t="shared" si="230"/>
        <v>0</v>
      </c>
      <c r="AI679" s="603">
        <f t="shared" si="231"/>
        <v>0</v>
      </c>
      <c r="AJ679" s="298"/>
      <c r="AK679" s="299"/>
      <c r="AL679" s="601">
        <f t="shared" si="232"/>
        <v>0</v>
      </c>
      <c r="AM679" s="604">
        <f t="shared" si="233"/>
        <v>0</v>
      </c>
      <c r="AN679" s="306"/>
      <c r="AO679" s="307"/>
      <c r="AP679" s="298">
        <v>339</v>
      </c>
      <c r="AQ679" s="307">
        <v>379</v>
      </c>
      <c r="AR679" s="298">
        <v>534</v>
      </c>
      <c r="AS679" s="307">
        <v>321</v>
      </c>
      <c r="AT679" s="298">
        <v>316</v>
      </c>
      <c r="AU679" s="307">
        <v>385</v>
      </c>
      <c r="AV679" s="601">
        <f t="shared" si="234"/>
        <v>1189</v>
      </c>
      <c r="AW679" s="609">
        <f t="shared" si="235"/>
        <v>49.541666666666664</v>
      </c>
      <c r="AX679" s="603">
        <f t="shared" si="236"/>
        <v>1085</v>
      </c>
      <c r="AY679" s="610">
        <f t="shared" si="237"/>
        <v>45.208333333333336</v>
      </c>
      <c r="AZ679" s="611">
        <f t="shared" si="238"/>
        <v>2585.4416666666666</v>
      </c>
      <c r="BA679" s="603">
        <f t="shared" si="239"/>
        <v>2605.6416666666669</v>
      </c>
    </row>
    <row r="680" spans="1:53">
      <c r="A680" s="430" t="s">
        <v>165</v>
      </c>
      <c r="B680" s="431" t="s">
        <v>706</v>
      </c>
      <c r="C680" s="432"/>
      <c r="D680" s="433">
        <v>237899</v>
      </c>
      <c r="E680" s="433">
        <v>6</v>
      </c>
      <c r="F680" s="296" t="s">
        <v>52</v>
      </c>
      <c r="G680" s="297" t="s">
        <v>52</v>
      </c>
      <c r="H680" s="298"/>
      <c r="I680" s="299"/>
      <c r="J680" s="298">
        <v>37226</v>
      </c>
      <c r="K680" s="299">
        <v>33558</v>
      </c>
      <c r="L680" s="298">
        <v>2921</v>
      </c>
      <c r="M680" s="299">
        <v>2737</v>
      </c>
      <c r="N680" s="298">
        <v>36531</v>
      </c>
      <c r="O680" s="299">
        <v>33566</v>
      </c>
      <c r="P680" s="601">
        <f t="shared" si="223"/>
        <v>76678</v>
      </c>
      <c r="Q680" s="602">
        <f t="shared" si="224"/>
        <v>2555.9333333333334</v>
      </c>
      <c r="R680" s="603">
        <f t="shared" si="299"/>
        <v>69861</v>
      </c>
      <c r="S680" s="604">
        <f t="shared" si="225"/>
        <v>2328.6999999999998</v>
      </c>
      <c r="T680" s="298">
        <v>2966</v>
      </c>
      <c r="U680" s="299">
        <v>3077</v>
      </c>
      <c r="V680" s="601">
        <f t="shared" si="226"/>
        <v>76678</v>
      </c>
      <c r="W680" s="605">
        <f t="shared" si="227"/>
        <v>69861</v>
      </c>
      <c r="X680" s="305"/>
      <c r="Y680" s="299"/>
      <c r="Z680" s="298"/>
      <c r="AA680" s="299"/>
      <c r="AB680" s="298"/>
      <c r="AC680" s="299"/>
      <c r="AD680" s="298"/>
      <c r="AE680" s="299"/>
      <c r="AF680" s="601">
        <f t="shared" si="228"/>
        <v>0</v>
      </c>
      <c r="AG680" s="602">
        <f t="shared" si="229"/>
        <v>0</v>
      </c>
      <c r="AH680" s="603">
        <f t="shared" si="230"/>
        <v>0</v>
      </c>
      <c r="AI680" s="603">
        <f t="shared" si="231"/>
        <v>0</v>
      </c>
      <c r="AJ680" s="298"/>
      <c r="AK680" s="299"/>
      <c r="AL680" s="601">
        <f t="shared" si="232"/>
        <v>0</v>
      </c>
      <c r="AM680" s="604">
        <f t="shared" si="233"/>
        <v>0</v>
      </c>
      <c r="AN680" s="306"/>
      <c r="AO680" s="307"/>
      <c r="AP680" s="298">
        <v>289</v>
      </c>
      <c r="AQ680" s="307">
        <v>390</v>
      </c>
      <c r="AR680" s="298">
        <v>17</v>
      </c>
      <c r="AS680" s="307">
        <v>30</v>
      </c>
      <c r="AT680" s="298">
        <v>470</v>
      </c>
      <c r="AU680" s="307">
        <v>419</v>
      </c>
      <c r="AV680" s="601">
        <f t="shared" si="234"/>
        <v>776</v>
      </c>
      <c r="AW680" s="609">
        <f t="shared" si="235"/>
        <v>32.333333333333336</v>
      </c>
      <c r="AX680" s="603">
        <f t="shared" si="236"/>
        <v>839</v>
      </c>
      <c r="AY680" s="610">
        <f t="shared" si="237"/>
        <v>34.958333333333336</v>
      </c>
      <c r="AZ680" s="611">
        <f t="shared" si="238"/>
        <v>2588.2666666666669</v>
      </c>
      <c r="BA680" s="603">
        <f t="shared" si="239"/>
        <v>2363.6583333333333</v>
      </c>
    </row>
    <row r="681" spans="1:53">
      <c r="A681" s="430" t="s">
        <v>165</v>
      </c>
      <c r="B681" s="431" t="s">
        <v>707</v>
      </c>
      <c r="C681" s="432"/>
      <c r="D681" s="433">
        <v>237950</v>
      </c>
      <c r="E681" s="433">
        <v>6</v>
      </c>
      <c r="F681" s="296" t="s">
        <v>52</v>
      </c>
      <c r="G681" s="297" t="s">
        <v>52</v>
      </c>
      <c r="H681" s="298"/>
      <c r="I681" s="299"/>
      <c r="J681" s="298">
        <v>15345</v>
      </c>
      <c r="K681" s="299">
        <v>15230</v>
      </c>
      <c r="L681" s="298">
        <v>908</v>
      </c>
      <c r="M681" s="299">
        <v>1090</v>
      </c>
      <c r="N681" s="298">
        <v>16016</v>
      </c>
      <c r="O681" s="299">
        <v>16657</v>
      </c>
      <c r="P681" s="601">
        <f t="shared" si="223"/>
        <v>32269</v>
      </c>
      <c r="Q681" s="602">
        <f t="shared" si="224"/>
        <v>1075.6333333333334</v>
      </c>
      <c r="R681" s="603">
        <f t="shared" si="299"/>
        <v>32977</v>
      </c>
      <c r="S681" s="604">
        <f t="shared" si="225"/>
        <v>1099.2333333333333</v>
      </c>
      <c r="T681" s="298">
        <v>925</v>
      </c>
      <c r="U681" s="299">
        <v>991</v>
      </c>
      <c r="V681" s="601">
        <f t="shared" si="226"/>
        <v>32269</v>
      </c>
      <c r="W681" s="605">
        <f t="shared" si="227"/>
        <v>32977</v>
      </c>
      <c r="X681" s="305"/>
      <c r="Y681" s="299"/>
      <c r="Z681" s="298"/>
      <c r="AA681" s="299"/>
      <c r="AB681" s="298"/>
      <c r="AC681" s="299"/>
      <c r="AD681" s="298"/>
      <c r="AE681" s="299"/>
      <c r="AF681" s="601">
        <f t="shared" si="228"/>
        <v>0</v>
      </c>
      <c r="AG681" s="602">
        <f t="shared" si="229"/>
        <v>0</v>
      </c>
      <c r="AH681" s="603">
        <f t="shared" si="230"/>
        <v>0</v>
      </c>
      <c r="AI681" s="603">
        <f t="shared" si="231"/>
        <v>0</v>
      </c>
      <c r="AJ681" s="298"/>
      <c r="AK681" s="299"/>
      <c r="AL681" s="601">
        <f t="shared" si="232"/>
        <v>0</v>
      </c>
      <c r="AM681" s="604">
        <f t="shared" si="233"/>
        <v>0</v>
      </c>
      <c r="AN681" s="306"/>
      <c r="AO681" s="307"/>
      <c r="AP681" s="298"/>
      <c r="AQ681" s="307"/>
      <c r="AR681" s="298"/>
      <c r="AS681" s="307"/>
      <c r="AT681" s="298"/>
      <c r="AU681" s="307"/>
      <c r="AV681" s="601">
        <f t="shared" si="234"/>
        <v>0</v>
      </c>
      <c r="AW681" s="609">
        <f t="shared" si="235"/>
        <v>0</v>
      </c>
      <c r="AX681" s="603">
        <f t="shared" si="236"/>
        <v>0</v>
      </c>
      <c r="AY681" s="610">
        <f t="shared" si="237"/>
        <v>0</v>
      </c>
      <c r="AZ681" s="611">
        <f t="shared" si="238"/>
        <v>1075.6333333333334</v>
      </c>
      <c r="BA681" s="603">
        <f t="shared" si="239"/>
        <v>1099.2333333333333</v>
      </c>
    </row>
    <row r="682" spans="1:53">
      <c r="A682" s="430" t="s">
        <v>165</v>
      </c>
      <c r="B682" s="483" t="s">
        <v>708</v>
      </c>
      <c r="C682" s="432"/>
      <c r="D682" s="433">
        <v>237701</v>
      </c>
      <c r="E682" s="433">
        <v>7</v>
      </c>
      <c r="F682" s="296" t="s">
        <v>52</v>
      </c>
      <c r="G682" s="297" t="s">
        <v>52</v>
      </c>
      <c r="H682" s="298"/>
      <c r="I682" s="299"/>
      <c r="J682" s="298">
        <v>19877</v>
      </c>
      <c r="K682" s="299">
        <v>20574</v>
      </c>
      <c r="L682" s="298">
        <v>1659</v>
      </c>
      <c r="M682" s="299">
        <v>1918</v>
      </c>
      <c r="N682" s="298">
        <v>22967</v>
      </c>
      <c r="O682" s="299">
        <v>22570</v>
      </c>
      <c r="P682" s="601">
        <f t="shared" si="223"/>
        <v>44503</v>
      </c>
      <c r="Q682" s="602">
        <f t="shared" si="224"/>
        <v>1483.4333333333334</v>
      </c>
      <c r="R682" s="603">
        <f t="shared" si="299"/>
        <v>45062</v>
      </c>
      <c r="S682" s="604">
        <f t="shared" si="225"/>
        <v>1502.0666666666666</v>
      </c>
      <c r="T682" s="298">
        <v>2487</v>
      </c>
      <c r="U682" s="299">
        <v>2317</v>
      </c>
      <c r="V682" s="601">
        <f t="shared" si="226"/>
        <v>44503</v>
      </c>
      <c r="W682" s="605">
        <f t="shared" si="227"/>
        <v>45062</v>
      </c>
      <c r="X682" s="305"/>
      <c r="Y682" s="299"/>
      <c r="Z682" s="298"/>
      <c r="AA682" s="299"/>
      <c r="AB682" s="298"/>
      <c r="AC682" s="299"/>
      <c r="AD682" s="298"/>
      <c r="AE682" s="299"/>
      <c r="AF682" s="601">
        <f t="shared" si="228"/>
        <v>0</v>
      </c>
      <c r="AG682" s="602">
        <f t="shared" si="229"/>
        <v>0</v>
      </c>
      <c r="AH682" s="603">
        <f t="shared" si="230"/>
        <v>0</v>
      </c>
      <c r="AI682" s="603">
        <f t="shared" si="231"/>
        <v>0</v>
      </c>
      <c r="AJ682" s="298"/>
      <c r="AK682" s="299"/>
      <c r="AL682" s="601">
        <f t="shared" si="232"/>
        <v>0</v>
      </c>
      <c r="AM682" s="604">
        <f t="shared" si="233"/>
        <v>0</v>
      </c>
      <c r="AN682" s="306"/>
      <c r="AO682" s="307"/>
      <c r="AP682" s="298"/>
      <c r="AQ682" s="307"/>
      <c r="AR682" s="298"/>
      <c r="AS682" s="307"/>
      <c r="AT682" s="298"/>
      <c r="AU682" s="307"/>
      <c r="AV682" s="601">
        <f t="shared" si="234"/>
        <v>0</v>
      </c>
      <c r="AW682" s="609">
        <f t="shared" si="235"/>
        <v>0</v>
      </c>
      <c r="AX682" s="603">
        <f t="shared" si="236"/>
        <v>0</v>
      </c>
      <c r="AY682" s="610">
        <f t="shared" si="237"/>
        <v>0</v>
      </c>
      <c r="AZ682" s="611">
        <f t="shared" si="238"/>
        <v>1483.4333333333334</v>
      </c>
      <c r="BA682" s="603">
        <f t="shared" si="239"/>
        <v>1502.0666666666666</v>
      </c>
    </row>
    <row r="683" spans="1:53">
      <c r="A683" s="430" t="s">
        <v>165</v>
      </c>
      <c r="B683" s="431" t="s">
        <v>709</v>
      </c>
      <c r="C683" s="432"/>
      <c r="D683" s="433">
        <v>237686</v>
      </c>
      <c r="E683" s="433">
        <v>7</v>
      </c>
      <c r="F683" s="296" t="s">
        <v>52</v>
      </c>
      <c r="G683" s="297" t="s">
        <v>52</v>
      </c>
      <c r="H683" s="298"/>
      <c r="I683" s="299"/>
      <c r="J683" s="298">
        <v>45474</v>
      </c>
      <c r="K683" s="299">
        <v>47232</v>
      </c>
      <c r="L683" s="298">
        <v>11073</v>
      </c>
      <c r="M683" s="299">
        <v>10936</v>
      </c>
      <c r="N683" s="298">
        <v>48741</v>
      </c>
      <c r="O683" s="299">
        <v>45336</v>
      </c>
      <c r="P683" s="601">
        <f t="shared" si="223"/>
        <v>105288</v>
      </c>
      <c r="Q683" s="602">
        <f t="shared" si="224"/>
        <v>3509.6</v>
      </c>
      <c r="R683" s="603">
        <f t="shared" si="299"/>
        <v>103504</v>
      </c>
      <c r="S683" s="604">
        <f t="shared" si="225"/>
        <v>3450.1333333333332</v>
      </c>
      <c r="T683" s="298">
        <v>3498</v>
      </c>
      <c r="U683" s="299">
        <v>3426</v>
      </c>
      <c r="V683" s="601">
        <f t="shared" si="226"/>
        <v>105288</v>
      </c>
      <c r="W683" s="605">
        <f t="shared" si="227"/>
        <v>103504</v>
      </c>
      <c r="X683" s="305"/>
      <c r="Y683" s="299"/>
      <c r="Z683" s="298"/>
      <c r="AA683" s="299"/>
      <c r="AB683" s="298"/>
      <c r="AC683" s="299"/>
      <c r="AD683" s="298"/>
      <c r="AE683" s="299"/>
      <c r="AF683" s="601">
        <f t="shared" si="228"/>
        <v>0</v>
      </c>
      <c r="AG683" s="602">
        <f t="shared" si="229"/>
        <v>0</v>
      </c>
      <c r="AH683" s="603">
        <f t="shared" si="230"/>
        <v>0</v>
      </c>
      <c r="AI683" s="603">
        <f t="shared" si="231"/>
        <v>0</v>
      </c>
      <c r="AJ683" s="298"/>
      <c r="AK683" s="299"/>
      <c r="AL683" s="601">
        <f t="shared" si="232"/>
        <v>0</v>
      </c>
      <c r="AM683" s="604">
        <f t="shared" si="233"/>
        <v>0</v>
      </c>
      <c r="AN683" s="306"/>
      <c r="AO683" s="307"/>
      <c r="AP683" s="298"/>
      <c r="AQ683" s="307"/>
      <c r="AR683" s="298"/>
      <c r="AS683" s="307"/>
      <c r="AT683" s="298"/>
      <c r="AU683" s="307"/>
      <c r="AV683" s="601">
        <f t="shared" si="234"/>
        <v>0</v>
      </c>
      <c r="AW683" s="609">
        <f t="shared" si="235"/>
        <v>0</v>
      </c>
      <c r="AX683" s="603">
        <f t="shared" si="236"/>
        <v>0</v>
      </c>
      <c r="AY683" s="610">
        <f t="shared" si="237"/>
        <v>0</v>
      </c>
      <c r="AZ683" s="611">
        <f t="shared" si="238"/>
        <v>3509.6</v>
      </c>
      <c r="BA683" s="603">
        <f t="shared" si="239"/>
        <v>3450.1333333333332</v>
      </c>
    </row>
    <row r="684" spans="1:53">
      <c r="A684" s="430" t="s">
        <v>165</v>
      </c>
      <c r="B684" s="434" t="s">
        <v>718</v>
      </c>
      <c r="C684" s="485" t="s">
        <v>459</v>
      </c>
      <c r="D684" s="433">
        <v>238014</v>
      </c>
      <c r="E684" s="486">
        <v>9</v>
      </c>
      <c r="F684" s="296" t="s">
        <v>52</v>
      </c>
      <c r="G684" s="297" t="s">
        <v>52</v>
      </c>
      <c r="H684" s="298"/>
      <c r="I684" s="299"/>
      <c r="J684" s="298">
        <v>32472.799999999999</v>
      </c>
      <c r="K684" s="299">
        <v>32391.200000000001</v>
      </c>
      <c r="L684" s="298">
        <v>10777</v>
      </c>
      <c r="M684" s="299">
        <v>9928.5</v>
      </c>
      <c r="N684" s="298">
        <v>33416.5</v>
      </c>
      <c r="O684" s="299">
        <v>29346</v>
      </c>
      <c r="P684" s="601">
        <f t="shared" si="223"/>
        <v>76666.3</v>
      </c>
      <c r="Q684" s="602">
        <f t="shared" si="224"/>
        <v>2555.5433333333335</v>
      </c>
      <c r="R684" s="603">
        <f t="shared" si="299"/>
        <v>71665.7</v>
      </c>
      <c r="S684" s="604">
        <f t="shared" si="225"/>
        <v>2388.8566666666666</v>
      </c>
      <c r="T684" s="298">
        <v>3076</v>
      </c>
      <c r="U684" s="299">
        <v>3170.5</v>
      </c>
      <c r="V684" s="601">
        <f t="shared" si="226"/>
        <v>76666.3</v>
      </c>
      <c r="W684" s="605">
        <f t="shared" si="227"/>
        <v>71665.7</v>
      </c>
      <c r="X684" s="305"/>
      <c r="Y684" s="299"/>
      <c r="Z684" s="298"/>
      <c r="AA684" s="299"/>
      <c r="AB684" s="298"/>
      <c r="AC684" s="299"/>
      <c r="AD684" s="298"/>
      <c r="AE684" s="299"/>
      <c r="AF684" s="601">
        <f t="shared" si="228"/>
        <v>0</v>
      </c>
      <c r="AG684" s="602">
        <f t="shared" si="229"/>
        <v>0</v>
      </c>
      <c r="AH684" s="603">
        <f t="shared" si="230"/>
        <v>0</v>
      </c>
      <c r="AI684" s="603">
        <f t="shared" si="231"/>
        <v>0</v>
      </c>
      <c r="AJ684" s="298"/>
      <c r="AK684" s="299"/>
      <c r="AL684" s="601">
        <f t="shared" si="232"/>
        <v>0</v>
      </c>
      <c r="AM684" s="604">
        <f t="shared" si="233"/>
        <v>0</v>
      </c>
      <c r="AN684" s="306"/>
      <c r="AO684" s="307"/>
      <c r="AP684" s="298"/>
      <c r="AQ684" s="307"/>
      <c r="AR684" s="298"/>
      <c r="AS684" s="307"/>
      <c r="AT684" s="298"/>
      <c r="AU684" s="307"/>
      <c r="AV684" s="601">
        <f t="shared" si="234"/>
        <v>0</v>
      </c>
      <c r="AW684" s="609">
        <f t="shared" si="235"/>
        <v>0</v>
      </c>
      <c r="AX684" s="603">
        <f t="shared" si="236"/>
        <v>0</v>
      </c>
      <c r="AY684" s="610">
        <f t="shared" si="237"/>
        <v>0</v>
      </c>
      <c r="AZ684" s="611">
        <f t="shared" si="238"/>
        <v>2555.5433333333335</v>
      </c>
      <c r="BA684" s="603">
        <f t="shared" si="239"/>
        <v>2388.8566666666666</v>
      </c>
    </row>
    <row r="685" spans="1:53">
      <c r="A685" s="430" t="s">
        <v>165</v>
      </c>
      <c r="B685" s="431" t="s">
        <v>710</v>
      </c>
      <c r="C685" s="432"/>
      <c r="D685" s="433">
        <v>446774</v>
      </c>
      <c r="E685" s="433">
        <v>10</v>
      </c>
      <c r="F685" s="296" t="s">
        <v>52</v>
      </c>
      <c r="G685" s="297" t="s">
        <v>52</v>
      </c>
      <c r="H685" s="298"/>
      <c r="I685" s="299"/>
      <c r="J685" s="298">
        <v>20865.599999999999</v>
      </c>
      <c r="K685" s="299">
        <v>24794.400000000001</v>
      </c>
      <c r="L685" s="298">
        <v>4573</v>
      </c>
      <c r="M685" s="299">
        <v>4480</v>
      </c>
      <c r="N685" s="298">
        <v>26263.599999999999</v>
      </c>
      <c r="O685" s="299">
        <v>28410.3</v>
      </c>
      <c r="P685" s="601">
        <f t="shared" si="223"/>
        <v>51702.2</v>
      </c>
      <c r="Q685" s="602">
        <f t="shared" si="224"/>
        <v>1723.4066666666665</v>
      </c>
      <c r="R685" s="603">
        <f t="shared" si="299"/>
        <v>57684.7</v>
      </c>
      <c r="S685" s="604">
        <f t="shared" si="225"/>
        <v>1922.8233333333333</v>
      </c>
      <c r="T685" s="298">
        <v>1341.7</v>
      </c>
      <c r="U685" s="299">
        <v>1299.3</v>
      </c>
      <c r="V685" s="601">
        <f t="shared" si="226"/>
        <v>51702.2</v>
      </c>
      <c r="W685" s="605">
        <f t="shared" si="227"/>
        <v>57684.7</v>
      </c>
      <c r="X685" s="305"/>
      <c r="Y685" s="299"/>
      <c r="Z685" s="298"/>
      <c r="AA685" s="299"/>
      <c r="AB685" s="298"/>
      <c r="AC685" s="299"/>
      <c r="AD685" s="298"/>
      <c r="AE685" s="299"/>
      <c r="AF685" s="601">
        <f t="shared" si="228"/>
        <v>0</v>
      </c>
      <c r="AG685" s="602">
        <f t="shared" si="229"/>
        <v>0</v>
      </c>
      <c r="AH685" s="603">
        <f t="shared" si="230"/>
        <v>0</v>
      </c>
      <c r="AI685" s="603">
        <f t="shared" si="231"/>
        <v>0</v>
      </c>
      <c r="AJ685" s="298"/>
      <c r="AK685" s="299"/>
      <c r="AL685" s="601">
        <f t="shared" si="232"/>
        <v>0</v>
      </c>
      <c r="AM685" s="604">
        <f t="shared" si="233"/>
        <v>0</v>
      </c>
      <c r="AN685" s="306"/>
      <c r="AO685" s="307"/>
      <c r="AP685" s="298"/>
      <c r="AQ685" s="307"/>
      <c r="AR685" s="298"/>
      <c r="AS685" s="307"/>
      <c r="AT685" s="298"/>
      <c r="AU685" s="307"/>
      <c r="AV685" s="601">
        <f t="shared" si="234"/>
        <v>0</v>
      </c>
      <c r="AW685" s="609">
        <f t="shared" si="235"/>
        <v>0</v>
      </c>
      <c r="AX685" s="603">
        <f t="shared" si="236"/>
        <v>0</v>
      </c>
      <c r="AY685" s="610">
        <f t="shared" si="237"/>
        <v>0</v>
      </c>
      <c r="AZ685" s="611">
        <f t="shared" si="238"/>
        <v>1723.4066666666665</v>
      </c>
      <c r="BA685" s="603">
        <f t="shared" si="239"/>
        <v>1922.8233333333333</v>
      </c>
    </row>
    <row r="686" spans="1:53">
      <c r="A686" s="430" t="s">
        <v>165</v>
      </c>
      <c r="B686" s="431" t="s">
        <v>711</v>
      </c>
      <c r="C686" s="432"/>
      <c r="D686" s="433">
        <v>445674</v>
      </c>
      <c r="E686" s="433">
        <v>10</v>
      </c>
      <c r="F686" s="296" t="s">
        <v>52</v>
      </c>
      <c r="G686" s="297" t="s">
        <v>52</v>
      </c>
      <c r="H686" s="298"/>
      <c r="I686" s="299"/>
      <c r="J686" s="298">
        <v>8189</v>
      </c>
      <c r="K686" s="299">
        <v>7919.5</v>
      </c>
      <c r="L686" s="298">
        <v>297</v>
      </c>
      <c r="M686" s="299">
        <v>415</v>
      </c>
      <c r="N686" s="298">
        <v>9024</v>
      </c>
      <c r="O686" s="299">
        <v>9297.2999999999993</v>
      </c>
      <c r="P686" s="601">
        <f t="shared" si="223"/>
        <v>17510</v>
      </c>
      <c r="Q686" s="602">
        <f t="shared" si="224"/>
        <v>583.66666666666663</v>
      </c>
      <c r="R686" s="603">
        <f t="shared" si="299"/>
        <v>17631.8</v>
      </c>
      <c r="S686" s="604">
        <f t="shared" si="225"/>
        <v>587.72666666666669</v>
      </c>
      <c r="T686" s="298">
        <v>590</v>
      </c>
      <c r="U686" s="299">
        <v>603</v>
      </c>
      <c r="V686" s="601">
        <f t="shared" si="226"/>
        <v>17510</v>
      </c>
      <c r="W686" s="605">
        <f t="shared" si="227"/>
        <v>17631.8</v>
      </c>
      <c r="X686" s="305"/>
      <c r="Y686" s="299"/>
      <c r="Z686" s="298"/>
      <c r="AA686" s="299"/>
      <c r="AB686" s="298"/>
      <c r="AC686" s="299"/>
      <c r="AD686" s="298"/>
      <c r="AE686" s="299"/>
      <c r="AF686" s="601">
        <f t="shared" si="228"/>
        <v>0</v>
      </c>
      <c r="AG686" s="602">
        <f t="shared" si="229"/>
        <v>0</v>
      </c>
      <c r="AH686" s="603">
        <f t="shared" si="230"/>
        <v>0</v>
      </c>
      <c r="AI686" s="603">
        <f t="shared" si="231"/>
        <v>0</v>
      </c>
      <c r="AJ686" s="298"/>
      <c r="AK686" s="299"/>
      <c r="AL686" s="601">
        <f t="shared" si="232"/>
        <v>0</v>
      </c>
      <c r="AM686" s="604">
        <f t="shared" si="233"/>
        <v>0</v>
      </c>
      <c r="AN686" s="306"/>
      <c r="AO686" s="307"/>
      <c r="AP686" s="298"/>
      <c r="AQ686" s="307"/>
      <c r="AR686" s="298"/>
      <c r="AS686" s="307"/>
      <c r="AT686" s="298"/>
      <c r="AU686" s="307"/>
      <c r="AV686" s="601">
        <f t="shared" si="234"/>
        <v>0</v>
      </c>
      <c r="AW686" s="609">
        <f t="shared" si="235"/>
        <v>0</v>
      </c>
      <c r="AX686" s="603">
        <f t="shared" si="236"/>
        <v>0</v>
      </c>
      <c r="AY686" s="610">
        <f t="shared" si="237"/>
        <v>0</v>
      </c>
      <c r="AZ686" s="611">
        <f t="shared" si="238"/>
        <v>583.66666666666663</v>
      </c>
      <c r="BA686" s="603">
        <f t="shared" si="239"/>
        <v>587.72666666666669</v>
      </c>
    </row>
    <row r="687" spans="1:53">
      <c r="A687" s="430" t="s">
        <v>165</v>
      </c>
      <c r="B687" s="431" t="s">
        <v>712</v>
      </c>
      <c r="C687" s="432"/>
      <c r="D687" s="433">
        <v>438708</v>
      </c>
      <c r="E687" s="433">
        <v>10</v>
      </c>
      <c r="F687" s="296" t="s">
        <v>52</v>
      </c>
      <c r="G687" s="297" t="s">
        <v>52</v>
      </c>
      <c r="H687" s="298"/>
      <c r="I687" s="299"/>
      <c r="J687" s="298">
        <v>4807</v>
      </c>
      <c r="K687" s="299">
        <v>5136</v>
      </c>
      <c r="L687" s="298">
        <v>626</v>
      </c>
      <c r="M687" s="299">
        <v>942</v>
      </c>
      <c r="N687" s="298">
        <v>5321</v>
      </c>
      <c r="O687" s="299">
        <v>6472</v>
      </c>
      <c r="P687" s="601">
        <f t="shared" si="223"/>
        <v>10754</v>
      </c>
      <c r="Q687" s="602">
        <f t="shared" si="224"/>
        <v>358.46666666666664</v>
      </c>
      <c r="R687" s="603">
        <f t="shared" si="299"/>
        <v>12550</v>
      </c>
      <c r="S687" s="604">
        <f t="shared" si="225"/>
        <v>418.33333333333331</v>
      </c>
      <c r="T687" s="298">
        <v>1253</v>
      </c>
      <c r="U687" s="299">
        <v>1132</v>
      </c>
      <c r="V687" s="601">
        <f t="shared" si="226"/>
        <v>10754</v>
      </c>
      <c r="W687" s="605">
        <f t="shared" si="227"/>
        <v>12550</v>
      </c>
      <c r="X687" s="305"/>
      <c r="Y687" s="299"/>
      <c r="Z687" s="298"/>
      <c r="AA687" s="299"/>
      <c r="AB687" s="298"/>
      <c r="AC687" s="299"/>
      <c r="AD687" s="298"/>
      <c r="AE687" s="299"/>
      <c r="AF687" s="601">
        <f t="shared" si="228"/>
        <v>0</v>
      </c>
      <c r="AG687" s="602">
        <f t="shared" si="229"/>
        <v>0</v>
      </c>
      <c r="AH687" s="603">
        <f t="shared" si="230"/>
        <v>0</v>
      </c>
      <c r="AI687" s="603">
        <f t="shared" si="231"/>
        <v>0</v>
      </c>
      <c r="AJ687" s="298"/>
      <c r="AK687" s="299"/>
      <c r="AL687" s="601">
        <f t="shared" si="232"/>
        <v>0</v>
      </c>
      <c r="AM687" s="604">
        <f t="shared" si="233"/>
        <v>0</v>
      </c>
      <c r="AN687" s="306"/>
      <c r="AO687" s="307"/>
      <c r="AP687" s="298"/>
      <c r="AQ687" s="307"/>
      <c r="AR687" s="298"/>
      <c r="AS687" s="307"/>
      <c r="AT687" s="298"/>
      <c r="AU687" s="307"/>
      <c r="AV687" s="601">
        <f t="shared" si="234"/>
        <v>0</v>
      </c>
      <c r="AW687" s="609">
        <f t="shared" si="235"/>
        <v>0</v>
      </c>
      <c r="AX687" s="603">
        <f t="shared" si="236"/>
        <v>0</v>
      </c>
      <c r="AY687" s="610">
        <f t="shared" si="237"/>
        <v>0</v>
      </c>
      <c r="AZ687" s="611">
        <f t="shared" si="238"/>
        <v>358.46666666666664</v>
      </c>
      <c r="BA687" s="603">
        <f t="shared" si="239"/>
        <v>418.33333333333331</v>
      </c>
    </row>
    <row r="688" spans="1:53">
      <c r="A688" s="430" t="s">
        <v>165</v>
      </c>
      <c r="B688" s="431" t="s">
        <v>713</v>
      </c>
      <c r="C688" s="432"/>
      <c r="D688" s="433">
        <v>445018</v>
      </c>
      <c r="E688" s="433">
        <v>10</v>
      </c>
      <c r="F688" s="296" t="s">
        <v>52</v>
      </c>
      <c r="G688" s="297" t="s">
        <v>52</v>
      </c>
      <c r="H688" s="298"/>
      <c r="I688" s="299"/>
      <c r="J688" s="298">
        <v>16830</v>
      </c>
      <c r="K688" s="299">
        <v>17884</v>
      </c>
      <c r="L688" s="298">
        <v>1484</v>
      </c>
      <c r="M688" s="299">
        <v>1872</v>
      </c>
      <c r="N688" s="298">
        <v>18578</v>
      </c>
      <c r="O688" s="299">
        <v>17658</v>
      </c>
      <c r="P688" s="601">
        <f t="shared" si="223"/>
        <v>36892</v>
      </c>
      <c r="Q688" s="602">
        <f t="shared" si="224"/>
        <v>1229.7333333333333</v>
      </c>
      <c r="R688" s="603">
        <f t="shared" si="299"/>
        <v>37414</v>
      </c>
      <c r="S688" s="604">
        <f t="shared" si="225"/>
        <v>1247.1333333333334</v>
      </c>
      <c r="T688" s="298">
        <v>452</v>
      </c>
      <c r="U688" s="299">
        <v>166</v>
      </c>
      <c r="V688" s="601">
        <f t="shared" si="226"/>
        <v>36892</v>
      </c>
      <c r="W688" s="605">
        <f t="shared" si="227"/>
        <v>37414</v>
      </c>
      <c r="X688" s="305"/>
      <c r="Y688" s="299"/>
      <c r="Z688" s="298"/>
      <c r="AA688" s="299"/>
      <c r="AB688" s="298"/>
      <c r="AC688" s="299"/>
      <c r="AD688" s="298"/>
      <c r="AE688" s="299"/>
      <c r="AF688" s="601">
        <f t="shared" si="228"/>
        <v>0</v>
      </c>
      <c r="AG688" s="602">
        <f t="shared" si="229"/>
        <v>0</v>
      </c>
      <c r="AH688" s="603">
        <f t="shared" si="230"/>
        <v>0</v>
      </c>
      <c r="AI688" s="603">
        <f t="shared" si="231"/>
        <v>0</v>
      </c>
      <c r="AJ688" s="298"/>
      <c r="AK688" s="299"/>
      <c r="AL688" s="601">
        <f t="shared" si="232"/>
        <v>0</v>
      </c>
      <c r="AM688" s="604">
        <f t="shared" si="233"/>
        <v>0</v>
      </c>
      <c r="AN688" s="306"/>
      <c r="AO688" s="307"/>
      <c r="AP688" s="298"/>
      <c r="AQ688" s="307"/>
      <c r="AR688" s="298"/>
      <c r="AS688" s="307"/>
      <c r="AT688" s="298"/>
      <c r="AU688" s="307"/>
      <c r="AV688" s="601">
        <f t="shared" si="234"/>
        <v>0</v>
      </c>
      <c r="AW688" s="609">
        <f t="shared" si="235"/>
        <v>0</v>
      </c>
      <c r="AX688" s="603">
        <f t="shared" si="236"/>
        <v>0</v>
      </c>
      <c r="AY688" s="610">
        <f t="shared" si="237"/>
        <v>0</v>
      </c>
      <c r="AZ688" s="611">
        <f t="shared" si="238"/>
        <v>1229.7333333333333</v>
      </c>
      <c r="BA688" s="603">
        <f t="shared" si="239"/>
        <v>1247.1333333333334</v>
      </c>
    </row>
    <row r="689" spans="1:53">
      <c r="A689" s="430" t="s">
        <v>165</v>
      </c>
      <c r="B689" s="434" t="s">
        <v>714</v>
      </c>
      <c r="C689" s="432"/>
      <c r="D689" s="433">
        <v>444954</v>
      </c>
      <c r="E689" s="433">
        <v>10</v>
      </c>
      <c r="F689" s="296" t="s">
        <v>52</v>
      </c>
      <c r="G689" s="297" t="s">
        <v>52</v>
      </c>
      <c r="H689" s="298"/>
      <c r="I689" s="299"/>
      <c r="J689" s="298">
        <v>25352.2</v>
      </c>
      <c r="K689" s="299">
        <v>26117.8</v>
      </c>
      <c r="L689" s="298">
        <v>3578</v>
      </c>
      <c r="M689" s="299">
        <v>5014</v>
      </c>
      <c r="N689" s="298">
        <v>28793.8</v>
      </c>
      <c r="O689" s="299">
        <v>27935.599999999999</v>
      </c>
      <c r="P689" s="601">
        <f t="shared" si="223"/>
        <v>57724</v>
      </c>
      <c r="Q689" s="602">
        <f t="shared" si="224"/>
        <v>1924.1333333333334</v>
      </c>
      <c r="R689" s="603">
        <f t="shared" si="299"/>
        <v>59067.399999999994</v>
      </c>
      <c r="S689" s="604">
        <f t="shared" si="225"/>
        <v>1968.9133333333332</v>
      </c>
      <c r="T689" s="298">
        <v>1315</v>
      </c>
      <c r="U689" s="299">
        <v>1376</v>
      </c>
      <c r="V689" s="601">
        <f t="shared" si="226"/>
        <v>57724</v>
      </c>
      <c r="W689" s="605">
        <f t="shared" si="227"/>
        <v>59067.399999999994</v>
      </c>
      <c r="X689" s="305"/>
      <c r="Y689" s="299"/>
      <c r="Z689" s="298"/>
      <c r="AA689" s="299"/>
      <c r="AB689" s="298"/>
      <c r="AC689" s="299"/>
      <c r="AD689" s="298"/>
      <c r="AE689" s="299"/>
      <c r="AF689" s="601">
        <f t="shared" si="228"/>
        <v>0</v>
      </c>
      <c r="AG689" s="602">
        <f t="shared" si="229"/>
        <v>0</v>
      </c>
      <c r="AH689" s="603">
        <f t="shared" si="230"/>
        <v>0</v>
      </c>
      <c r="AI689" s="603">
        <f t="shared" si="231"/>
        <v>0</v>
      </c>
      <c r="AJ689" s="298"/>
      <c r="AK689" s="299"/>
      <c r="AL689" s="601">
        <f t="shared" si="232"/>
        <v>0</v>
      </c>
      <c r="AM689" s="604">
        <f t="shared" si="233"/>
        <v>0</v>
      </c>
      <c r="AN689" s="306"/>
      <c r="AO689" s="307"/>
      <c r="AP689" s="298"/>
      <c r="AQ689" s="307"/>
      <c r="AR689" s="298"/>
      <c r="AS689" s="307"/>
      <c r="AT689" s="298"/>
      <c r="AU689" s="307"/>
      <c r="AV689" s="601">
        <f t="shared" si="234"/>
        <v>0</v>
      </c>
      <c r="AW689" s="609">
        <f t="shared" si="235"/>
        <v>0</v>
      </c>
      <c r="AX689" s="603">
        <f t="shared" si="236"/>
        <v>0</v>
      </c>
      <c r="AY689" s="610">
        <f t="shared" si="237"/>
        <v>0</v>
      </c>
      <c r="AZ689" s="611">
        <f t="shared" si="238"/>
        <v>1924.1333333333334</v>
      </c>
      <c r="BA689" s="603">
        <f t="shared" si="239"/>
        <v>1968.9133333333332</v>
      </c>
    </row>
    <row r="690" spans="1:53">
      <c r="A690" s="430" t="s">
        <v>165</v>
      </c>
      <c r="B690" s="434" t="s">
        <v>715</v>
      </c>
      <c r="C690" s="432" t="s">
        <v>730</v>
      </c>
      <c r="D690" s="433">
        <v>447582</v>
      </c>
      <c r="E690" s="433">
        <v>10</v>
      </c>
      <c r="F690" s="296" t="s">
        <v>52</v>
      </c>
      <c r="G690" s="297" t="s">
        <v>52</v>
      </c>
      <c r="H690" s="298"/>
      <c r="I690" s="299"/>
      <c r="J690" s="298">
        <v>30185</v>
      </c>
      <c r="K690" s="299">
        <v>28725</v>
      </c>
      <c r="L690" s="298">
        <v>6075</v>
      </c>
      <c r="M690" s="299">
        <v>4482</v>
      </c>
      <c r="N690" s="298">
        <v>30720</v>
      </c>
      <c r="O690" s="299">
        <v>30326.5</v>
      </c>
      <c r="P690" s="601">
        <f t="shared" si="223"/>
        <v>66980</v>
      </c>
      <c r="Q690" s="602">
        <f t="shared" si="224"/>
        <v>2232.6666666666665</v>
      </c>
      <c r="R690" s="603">
        <f t="shared" si="299"/>
        <v>63533.5</v>
      </c>
      <c r="S690" s="604">
        <f t="shared" si="225"/>
        <v>2117.7833333333333</v>
      </c>
      <c r="T690" s="298">
        <v>2394</v>
      </c>
      <c r="U690" s="299">
        <v>1939</v>
      </c>
      <c r="V690" s="601">
        <f t="shared" si="226"/>
        <v>66980</v>
      </c>
      <c r="W690" s="605">
        <f t="shared" si="227"/>
        <v>63533.5</v>
      </c>
      <c r="X690" s="305"/>
      <c r="Y690" s="299"/>
      <c r="Z690" s="298"/>
      <c r="AA690" s="299"/>
      <c r="AB690" s="298"/>
      <c r="AC690" s="299"/>
      <c r="AD690" s="298"/>
      <c r="AE690" s="299"/>
      <c r="AF690" s="601">
        <f t="shared" si="228"/>
        <v>0</v>
      </c>
      <c r="AG690" s="602">
        <f t="shared" si="229"/>
        <v>0</v>
      </c>
      <c r="AH690" s="603">
        <f t="shared" si="230"/>
        <v>0</v>
      </c>
      <c r="AI690" s="603">
        <f t="shared" si="231"/>
        <v>0</v>
      </c>
      <c r="AJ690" s="298"/>
      <c r="AK690" s="299"/>
      <c r="AL690" s="601">
        <f t="shared" si="232"/>
        <v>0</v>
      </c>
      <c r="AM690" s="604">
        <f t="shared" si="233"/>
        <v>0</v>
      </c>
      <c r="AN690" s="306"/>
      <c r="AO690" s="307"/>
      <c r="AP690" s="298"/>
      <c r="AQ690" s="307"/>
      <c r="AR690" s="298"/>
      <c r="AS690" s="307"/>
      <c r="AT690" s="298"/>
      <c r="AU690" s="307"/>
      <c r="AV690" s="601">
        <f t="shared" si="234"/>
        <v>0</v>
      </c>
      <c r="AW690" s="609">
        <f t="shared" si="235"/>
        <v>0</v>
      </c>
      <c r="AX690" s="603">
        <f t="shared" si="236"/>
        <v>0</v>
      </c>
      <c r="AY690" s="610">
        <f t="shared" si="237"/>
        <v>0</v>
      </c>
      <c r="AZ690" s="611">
        <f t="shared" si="238"/>
        <v>2232.6666666666665</v>
      </c>
      <c r="BA690" s="603">
        <f t="shared" si="239"/>
        <v>2117.7833333333333</v>
      </c>
    </row>
    <row r="691" spans="1:53">
      <c r="A691" s="430" t="s">
        <v>165</v>
      </c>
      <c r="B691" s="484" t="s">
        <v>716</v>
      </c>
      <c r="C691" s="432" t="s">
        <v>730</v>
      </c>
      <c r="D691" s="433">
        <v>443492</v>
      </c>
      <c r="E691" s="433">
        <v>10</v>
      </c>
      <c r="F691" s="296" t="s">
        <v>52</v>
      </c>
      <c r="G691" s="297" t="s">
        <v>52</v>
      </c>
      <c r="H691" s="298"/>
      <c r="I691" s="299"/>
      <c r="J691" s="298">
        <v>28863</v>
      </c>
      <c r="K691" s="299">
        <v>30478</v>
      </c>
      <c r="L691" s="298">
        <v>3986</v>
      </c>
      <c r="M691" s="299">
        <v>4727</v>
      </c>
      <c r="N691" s="298">
        <v>32259</v>
      </c>
      <c r="O691" s="299">
        <v>33094</v>
      </c>
      <c r="P691" s="601">
        <f t="shared" si="223"/>
        <v>65108</v>
      </c>
      <c r="Q691" s="602">
        <f t="shared" si="224"/>
        <v>2170.2666666666669</v>
      </c>
      <c r="R691" s="603">
        <f t="shared" si="299"/>
        <v>68299</v>
      </c>
      <c r="S691" s="604">
        <f t="shared" si="225"/>
        <v>2276.6333333333332</v>
      </c>
      <c r="T691" s="298">
        <v>4112</v>
      </c>
      <c r="U691" s="299">
        <v>3921</v>
      </c>
      <c r="V691" s="601">
        <f t="shared" si="226"/>
        <v>65108</v>
      </c>
      <c r="W691" s="605">
        <f t="shared" si="227"/>
        <v>68299</v>
      </c>
      <c r="X691" s="305"/>
      <c r="Y691" s="299"/>
      <c r="Z691" s="298"/>
      <c r="AA691" s="299"/>
      <c r="AB691" s="298"/>
      <c r="AC691" s="299"/>
      <c r="AD691" s="298"/>
      <c r="AE691" s="299"/>
      <c r="AF691" s="601">
        <f t="shared" si="228"/>
        <v>0</v>
      </c>
      <c r="AG691" s="602">
        <f t="shared" si="229"/>
        <v>0</v>
      </c>
      <c r="AH691" s="603">
        <f t="shared" si="230"/>
        <v>0</v>
      </c>
      <c r="AI691" s="603">
        <f t="shared" si="231"/>
        <v>0</v>
      </c>
      <c r="AJ691" s="298"/>
      <c r="AK691" s="299"/>
      <c r="AL691" s="601">
        <f t="shared" si="232"/>
        <v>0</v>
      </c>
      <c r="AM691" s="604">
        <f t="shared" si="233"/>
        <v>0</v>
      </c>
      <c r="AN691" s="306"/>
      <c r="AO691" s="307"/>
      <c r="AP691" s="298"/>
      <c r="AQ691" s="307"/>
      <c r="AR691" s="298"/>
      <c r="AS691" s="307"/>
      <c r="AT691" s="298"/>
      <c r="AU691" s="307"/>
      <c r="AV691" s="601">
        <f t="shared" si="234"/>
        <v>0</v>
      </c>
      <c r="AW691" s="609">
        <f t="shared" si="235"/>
        <v>0</v>
      </c>
      <c r="AX691" s="603">
        <f t="shared" si="236"/>
        <v>0</v>
      </c>
      <c r="AY691" s="610">
        <f t="shared" si="237"/>
        <v>0</v>
      </c>
      <c r="AZ691" s="611">
        <f t="shared" si="238"/>
        <v>2170.2666666666669</v>
      </c>
      <c r="BA691" s="603">
        <f t="shared" si="239"/>
        <v>2276.6333333333332</v>
      </c>
    </row>
    <row r="692" spans="1:53">
      <c r="A692" s="430" t="s">
        <v>165</v>
      </c>
      <c r="B692" s="431" t="s">
        <v>717</v>
      </c>
      <c r="C692" s="432"/>
      <c r="D692" s="433">
        <v>237817</v>
      </c>
      <c r="E692" s="433">
        <v>10</v>
      </c>
      <c r="F692" s="296" t="s">
        <v>52</v>
      </c>
      <c r="G692" s="297" t="s">
        <v>52</v>
      </c>
      <c r="H692" s="298"/>
      <c r="I692" s="299"/>
      <c r="J692" s="298">
        <v>23160</v>
      </c>
      <c r="K692" s="299">
        <v>21340</v>
      </c>
      <c r="L692" s="298">
        <v>2127</v>
      </c>
      <c r="M692" s="299">
        <v>2679</v>
      </c>
      <c r="N692" s="298">
        <v>26709</v>
      </c>
      <c r="O692" s="299">
        <v>25278</v>
      </c>
      <c r="P692" s="601">
        <f t="shared" si="223"/>
        <v>51996</v>
      </c>
      <c r="Q692" s="602">
        <f t="shared" si="224"/>
        <v>1733.2</v>
      </c>
      <c r="R692" s="603">
        <f t="shared" si="299"/>
        <v>49297</v>
      </c>
      <c r="S692" s="604">
        <f t="shared" si="225"/>
        <v>1643.2333333333333</v>
      </c>
      <c r="T692" s="298">
        <v>3146</v>
      </c>
      <c r="U692" s="299">
        <v>3273</v>
      </c>
      <c r="V692" s="601">
        <f t="shared" si="226"/>
        <v>51996</v>
      </c>
      <c r="W692" s="605">
        <f t="shared" si="227"/>
        <v>49297</v>
      </c>
      <c r="X692" s="305"/>
      <c r="Y692" s="299"/>
      <c r="Z692" s="298"/>
      <c r="AA692" s="299"/>
      <c r="AB692" s="298"/>
      <c r="AC692" s="299"/>
      <c r="AD692" s="298"/>
      <c r="AE692" s="299"/>
      <c r="AF692" s="601">
        <f t="shared" si="228"/>
        <v>0</v>
      </c>
      <c r="AG692" s="602">
        <f t="shared" si="229"/>
        <v>0</v>
      </c>
      <c r="AH692" s="603">
        <f t="shared" si="230"/>
        <v>0</v>
      </c>
      <c r="AI692" s="603">
        <f t="shared" si="231"/>
        <v>0</v>
      </c>
      <c r="AJ692" s="298"/>
      <c r="AK692" s="299"/>
      <c r="AL692" s="601">
        <f t="shared" si="232"/>
        <v>0</v>
      </c>
      <c r="AM692" s="604">
        <f t="shared" si="233"/>
        <v>0</v>
      </c>
      <c r="AN692" s="306"/>
      <c r="AO692" s="307"/>
      <c r="AP692" s="298"/>
      <c r="AQ692" s="307"/>
      <c r="AR692" s="298"/>
      <c r="AS692" s="307"/>
      <c r="AT692" s="298"/>
      <c r="AU692" s="307"/>
      <c r="AV692" s="601">
        <f t="shared" si="234"/>
        <v>0</v>
      </c>
      <c r="AW692" s="609">
        <f t="shared" si="235"/>
        <v>0</v>
      </c>
      <c r="AX692" s="603">
        <f t="shared" si="236"/>
        <v>0</v>
      </c>
      <c r="AY692" s="610">
        <f t="shared" si="237"/>
        <v>0</v>
      </c>
      <c r="AZ692" s="611">
        <f t="shared" si="238"/>
        <v>1733.2</v>
      </c>
      <c r="BA692" s="603">
        <f t="shared" si="239"/>
        <v>1643.2333333333333</v>
      </c>
    </row>
    <row r="693" spans="1:53">
      <c r="F693" s="589"/>
      <c r="G693" s="584"/>
      <c r="H693" s="584"/>
      <c r="I693" s="585"/>
      <c r="J693" s="585"/>
      <c r="K693" s="585"/>
      <c r="L693" s="585"/>
      <c r="M693" s="584"/>
      <c r="N693" s="584"/>
      <c r="O693" s="584"/>
      <c r="P693" s="585"/>
      <c r="Q693" s="584"/>
      <c r="R693" s="585"/>
      <c r="S693" s="584"/>
      <c r="T693" s="585"/>
      <c r="U693" s="584"/>
      <c r="V693" s="585"/>
      <c r="W693" s="584"/>
      <c r="X693" s="584"/>
    </row>
    <row r="694" spans="1:53">
      <c r="F694" s="589"/>
      <c r="G694" s="584"/>
      <c r="H694" s="584"/>
      <c r="I694" s="585"/>
      <c r="J694" s="585"/>
      <c r="K694" s="585"/>
      <c r="L694" s="585"/>
      <c r="M694" s="584"/>
      <c r="N694" s="584"/>
      <c r="O694" s="584"/>
      <c r="P694" s="585"/>
      <c r="Q694" s="584"/>
      <c r="R694" s="585"/>
      <c r="S694" s="584"/>
      <c r="T694" s="585"/>
      <c r="U694" s="584"/>
      <c r="V694" s="585"/>
      <c r="W694" s="584"/>
      <c r="X694" s="584"/>
    </row>
    <row r="695" spans="1:53">
      <c r="F695" s="589"/>
      <c r="G695" s="584"/>
      <c r="H695" s="584"/>
      <c r="I695" s="585"/>
      <c r="J695" s="585"/>
      <c r="K695" s="585"/>
      <c r="L695" s="585"/>
      <c r="M695" s="584"/>
      <c r="N695" s="584"/>
      <c r="O695" s="584"/>
      <c r="P695" s="585"/>
      <c r="Q695" s="584"/>
      <c r="R695" s="585"/>
      <c r="S695" s="584"/>
      <c r="T695" s="585"/>
      <c r="U695" s="584"/>
      <c r="V695" s="585"/>
      <c r="W695" s="584"/>
      <c r="X695" s="584"/>
    </row>
    <row r="696" spans="1:53">
      <c r="F696" s="585"/>
      <c r="G696" s="584"/>
      <c r="H696" s="584"/>
      <c r="I696" s="585"/>
      <c r="J696" s="585"/>
      <c r="K696" s="585"/>
      <c r="L696" s="585"/>
      <c r="M696" s="584"/>
      <c r="N696" s="584"/>
      <c r="O696" s="584"/>
      <c r="P696" s="585"/>
      <c r="Q696" s="584"/>
      <c r="R696" s="585"/>
      <c r="S696" s="584"/>
      <c r="T696" s="585"/>
      <c r="U696" s="584"/>
      <c r="V696" s="585"/>
      <c r="W696" s="584"/>
      <c r="X696" s="584"/>
    </row>
  </sheetData>
  <sortState ref="A7:BA694">
    <sortCondition ref="A7:A694"/>
    <sortCondition ref="E7:E694"/>
    <sortCondition ref="B7:B694"/>
  </sortState>
  <mergeCells count="1">
    <mergeCell ref="AZ3:BA3"/>
  </mergeCells>
  <phoneticPr fontId="0" type="noConversion"/>
  <conditionalFormatting sqref="AQ1 AO1 AO7:AQ45 AE7:AE45 AE1 I7:I45 I1 AA7:AA45 AA1 Y7:Y45 Y1 AC7:AC45 AC1 K7:K45 K1 O7:O45 O1 M7:M45 M1 AU7:AU45 AU1 AS7:AS45 AS1">
    <cfRule type="expression" dxfId="31" priority="289" stopIfTrue="1">
      <formula>I1&lt;(H1-(H1*0.1))</formula>
    </cfRule>
    <cfRule type="expression" dxfId="30" priority="290" stopIfTrue="1">
      <formula>I1&gt;(H1+(H1*0.1))</formula>
    </cfRule>
  </conditionalFormatting>
  <conditionalFormatting sqref="AQ1 AO1 AO7:AQ45 O7:O45 O1 AE7:AE45 AE1 M7:M45 M1 K7:K45 K1 I7:I45 I1 U7:U45 U1 AA7:AA45 AA1 AC7:AC45 AC1 AK7:AK45 AK1 Y7:Y45 Y1 AS7:AS45 AS1 AU7:AU45 AU1">
    <cfRule type="cellIs" dxfId="29" priority="241" stopIfTrue="1" operator="greaterThan">
      <formula>H1+(H1*0.1)</formula>
    </cfRule>
    <cfRule type="cellIs" dxfId="28" priority="242" stopIfTrue="1" operator="lessThan">
      <formula>H1-(H1*0.1)</formula>
    </cfRule>
  </conditionalFormatting>
  <conditionalFormatting sqref="AS1">
    <cfRule type="cellIs" dxfId="27" priority="189" stopIfTrue="1" operator="greaterThan">
      <formula>AR1+(AR1*0.1)</formula>
    </cfRule>
    <cfRule type="cellIs" dxfId="26" priority="190" stopIfTrue="1" operator="lessThan">
      <formula>AR1-(AR1*0.1)</formula>
    </cfRule>
  </conditionalFormatting>
  <conditionalFormatting sqref="AU1">
    <cfRule type="cellIs" dxfId="25" priority="187" stopIfTrue="1" operator="greaterThan">
      <formula>AT1+(AT1*0.1)</formula>
    </cfRule>
    <cfRule type="cellIs" dxfId="24" priority="188" stopIfTrue="1" operator="lessThan">
      <formula>AT1-(AT1*0.1)</formula>
    </cfRule>
  </conditionalFormatting>
  <conditionalFormatting sqref="AN7:AU45 AJ7:AJ45 AJ1">
    <cfRule type="expression" dxfId="23" priority="305" stopIfTrue="1">
      <formula>AJ1&lt;(AF1-(AF1*0.1))</formula>
    </cfRule>
    <cfRule type="expression" dxfId="22" priority="306" stopIfTrue="1">
      <formula>AJ1&gt;(AF1+(AF1*0.1))</formula>
    </cfRule>
  </conditionalFormatting>
  <conditionalFormatting sqref="AO7:AP45 AK7:AK45 AK1">
    <cfRule type="expression" dxfId="21" priority="307" stopIfTrue="1">
      <formula>AK1&lt;(AH1-(AH1*0.1))</formula>
    </cfRule>
    <cfRule type="expression" dxfId="20" priority="308" stopIfTrue="1">
      <formula>AK1&gt;(AH1+(AH1*0.1))</formula>
    </cfRule>
  </conditionalFormatting>
  <conditionalFormatting sqref="AQ1 AO1 AO7:AQ45 M7:M45 M1 Y7:Y45 Y1 AA7:AA45 AA1 AC7:AC45 AC1 AE7:AE45 AE1 AK7:AK45 AK1 I7:I45 I1 K7:K45 K1 U7:U45 U1 O7:O45 O1 AS7:AS45 AS1 AU7:AU45 AU1">
    <cfRule type="expression" dxfId="19" priority="137">
      <formula>I1&gt;(H1+(H1*0.1))</formula>
    </cfRule>
    <cfRule type="expression" dxfId="18" priority="138">
      <formula>I1&lt;(H1-(H1*0.1))</formula>
    </cfRule>
  </conditionalFormatting>
  <conditionalFormatting sqref="U1">
    <cfRule type="expression" dxfId="17" priority="123">
      <formula>U1&gt;(T1+(T1*0.1))</formula>
    </cfRule>
    <cfRule type="expression" dxfId="16" priority="124">
      <formula>U1&lt;(T1-(T1*0.1))</formula>
    </cfRule>
  </conditionalFormatting>
  <conditionalFormatting sqref="O1">
    <cfRule type="expression" dxfId="15" priority="21">
      <formula>O1&gt;(N1+(N1*0.1))</formula>
    </cfRule>
    <cfRule type="expression" dxfId="14" priority="22">
      <formula>O1&lt;(N1-(N1*0.1))</formula>
    </cfRule>
  </conditionalFormatting>
  <conditionalFormatting sqref="AQ1 AS1 AU1">
    <cfRule type="expression" dxfId="13" priority="17">
      <formula>AQ1&gt;(AP1+(AP1*0.1))</formula>
    </cfRule>
    <cfRule type="expression" dxfId="12" priority="18">
      <formula>AQ1&lt;(AP1-(AP1*0.1))</formula>
    </cfRule>
  </conditionalFormatting>
  <conditionalFormatting sqref="AN1:AU1">
    <cfRule type="expression" dxfId="11" priority="11" stopIfTrue="1">
      <formula>AN1&lt;(AJ1-(AJ1*0.1))</formula>
    </cfRule>
    <cfRule type="expression" dxfId="10" priority="12" stopIfTrue="1">
      <formula>AN1&gt;(AJ1+(AJ1*0.1))</formula>
    </cfRule>
  </conditionalFormatting>
  <conditionalFormatting sqref="AO1">
    <cfRule type="expression" dxfId="9" priority="9" stopIfTrue="1">
      <formula>AO1&lt;(AL1-(AL1*0.1))</formula>
    </cfRule>
    <cfRule type="expression" dxfId="8" priority="10" stopIfTrue="1">
      <formula>AO1&gt;(AL1+(AL1*0.1))</formula>
    </cfRule>
  </conditionalFormatting>
  <conditionalFormatting sqref="AP1">
    <cfRule type="expression" dxfId="7" priority="7" stopIfTrue="1">
      <formula>AP1&lt;(AO1-(AO1*0.1))</formula>
    </cfRule>
    <cfRule type="expression" dxfId="6" priority="8" stopIfTrue="1">
      <formula>AP1&gt;(AO1+(AO1*0.1))</formula>
    </cfRule>
  </conditionalFormatting>
  <conditionalFormatting sqref="AP1">
    <cfRule type="cellIs" dxfId="5" priority="5" stopIfTrue="1" operator="greaterThan">
      <formula>AO1+(AO1*0.1)</formula>
    </cfRule>
    <cfRule type="cellIs" dxfId="4" priority="6" stopIfTrue="1" operator="lessThan">
      <formula>AO1-(AO1*0.1)</formula>
    </cfRule>
  </conditionalFormatting>
  <conditionalFormatting sqref="AP1">
    <cfRule type="expression" dxfId="3" priority="3">
      <formula>AP1&gt;(AO1+(AO1*0.1))</formula>
    </cfRule>
    <cfRule type="expression" dxfId="2" priority="4">
      <formula>AP1&lt;(AO1-(AO1*0.1))</formula>
    </cfRule>
  </conditionalFormatting>
  <conditionalFormatting sqref="AP1">
    <cfRule type="expression" dxfId="1" priority="1" stopIfTrue="1">
      <formula>AP1&lt;(AM1-(AM1*0.1))</formula>
    </cfRule>
    <cfRule type="expression" dxfId="0" priority="2" stopIfTrue="1">
      <formula>AP1&gt;(AM1+(AM1*0.1))</formula>
    </cfRule>
  </conditionalFormatting>
  <pageMargins left="0.75" right="0.75" top="1" bottom="1" header="0.5" footer="0.5"/>
  <pageSetup paperSize="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220"/>
  <sheetViews>
    <sheetView workbookViewId="0">
      <selection activeCell="N33" sqref="N33"/>
    </sheetView>
  </sheetViews>
  <sheetFormatPr defaultRowHeight="12.75"/>
  <cols>
    <col min="1" max="1" width="7.5" style="658" customWidth="1"/>
    <col min="2" max="2" width="44.1640625" style="214" customWidth="1"/>
    <col min="3" max="8" width="15" style="214" customWidth="1"/>
    <col min="9" max="9" width="16.83203125" style="214" customWidth="1"/>
    <col min="10" max="13" width="13.6640625" style="214" customWidth="1"/>
    <col min="14" max="14" width="16.33203125" style="214" customWidth="1"/>
    <col min="15" max="16" width="13.83203125" style="214" customWidth="1"/>
    <col min="17" max="17" width="11" style="214" customWidth="1"/>
    <col min="18" max="18" width="10.6640625" style="214" customWidth="1"/>
    <col min="19" max="19" width="11.33203125" style="214" customWidth="1"/>
    <col min="20" max="20" width="10" style="214" customWidth="1"/>
    <col min="21" max="21" width="11.33203125" style="214" customWidth="1"/>
    <col min="22" max="22" width="9.83203125" style="214" customWidth="1"/>
    <col min="23" max="23" width="11.33203125" style="214" customWidth="1"/>
    <col min="24" max="24" width="10.1640625" style="214" customWidth="1"/>
    <col min="25" max="25" width="11.33203125" style="214" customWidth="1"/>
    <col min="26" max="26" width="9.6640625" style="214" customWidth="1"/>
    <col min="27" max="27" width="10.1640625" style="214" customWidth="1"/>
    <col min="28" max="31" width="2.1640625" style="214" customWidth="1"/>
    <col min="32" max="32" width="23.5" style="214" customWidth="1"/>
    <col min="33" max="33" width="12.6640625" style="214" customWidth="1"/>
    <col min="34" max="34" width="16" style="214" customWidth="1"/>
    <col min="35" max="35" width="16.5" style="214" customWidth="1"/>
    <col min="36" max="36" width="14.6640625" style="214" customWidth="1"/>
    <col min="37" max="37" width="14" style="214" customWidth="1"/>
    <col min="38" max="16384" width="9.33203125" style="214"/>
  </cols>
  <sheetData>
    <row r="1" spans="1:31" s="73" customFormat="1">
      <c r="A1" s="84"/>
      <c r="B1" s="83"/>
      <c r="C1" s="4"/>
      <c r="D1" s="4"/>
      <c r="E1" s="4"/>
      <c r="F1" s="4"/>
      <c r="G1" s="4"/>
      <c r="H1" s="4"/>
      <c r="I1" s="4"/>
      <c r="J1" s="4"/>
      <c r="K1" s="4"/>
      <c r="L1" s="4"/>
      <c r="M1" s="82"/>
      <c r="N1" s="4"/>
      <c r="T1" s="251"/>
      <c r="U1" s="251"/>
      <c r="V1" s="251"/>
      <c r="W1" s="251"/>
      <c r="X1" s="251"/>
      <c r="Y1" s="251"/>
      <c r="Z1" s="251"/>
      <c r="AA1" s="251"/>
    </row>
    <row r="2" spans="1:31">
      <c r="A2" s="631"/>
      <c r="B2" s="632"/>
      <c r="C2" s="633"/>
      <c r="D2" s="634"/>
      <c r="E2" s="634"/>
      <c r="F2" s="634"/>
      <c r="G2" s="634"/>
      <c r="H2" s="634"/>
      <c r="I2" s="634"/>
      <c r="J2" s="639"/>
      <c r="K2" s="634"/>
      <c r="L2" s="634"/>
      <c r="M2" s="635"/>
      <c r="N2" s="637"/>
      <c r="O2" s="639"/>
      <c r="P2" s="634"/>
      <c r="Q2" s="634"/>
      <c r="R2" s="634"/>
      <c r="S2" s="634"/>
      <c r="T2" s="646"/>
      <c r="U2" s="646"/>
      <c r="V2" s="646"/>
      <c r="W2" s="646"/>
      <c r="X2" s="646"/>
      <c r="Y2" s="646"/>
      <c r="Z2" s="646"/>
      <c r="AA2" s="648"/>
      <c r="AB2" s="765"/>
      <c r="AC2" s="765"/>
      <c r="AD2" s="765"/>
      <c r="AE2" s="630"/>
    </row>
    <row r="3" spans="1:31" s="73" customFormat="1">
      <c r="A3" s="631"/>
      <c r="B3" s="632"/>
      <c r="C3" s="633"/>
      <c r="D3" s="634"/>
      <c r="E3" s="634"/>
      <c r="F3" s="634"/>
      <c r="G3" s="634"/>
      <c r="H3" s="634"/>
      <c r="I3" s="644"/>
      <c r="J3" s="633"/>
      <c r="K3" s="634"/>
      <c r="L3" s="634"/>
      <c r="M3" s="634"/>
      <c r="N3" s="644"/>
      <c r="O3" s="633"/>
      <c r="P3" s="634"/>
      <c r="Q3" s="644"/>
      <c r="R3" s="633"/>
      <c r="S3" s="633"/>
      <c r="T3" s="645"/>
      <c r="U3" s="645"/>
      <c r="V3" s="645"/>
      <c r="W3" s="645"/>
      <c r="X3" s="645"/>
      <c r="Y3" s="645"/>
      <c r="Z3" s="645"/>
      <c r="AA3" s="649"/>
      <c r="AB3" s="765"/>
      <c r="AC3" s="765"/>
      <c r="AD3" s="765"/>
      <c r="AE3" s="630"/>
    </row>
    <row r="4" spans="1:31">
      <c r="A4" s="631"/>
      <c r="B4" s="636"/>
      <c r="C4" s="640"/>
      <c r="D4" s="641"/>
      <c r="E4" s="641"/>
      <c r="F4" s="641"/>
      <c r="G4" s="641"/>
      <c r="H4" s="641"/>
      <c r="I4" s="252"/>
      <c r="J4" s="642"/>
      <c r="K4" s="643"/>
      <c r="L4" s="643"/>
      <c r="M4" s="643"/>
      <c r="N4" s="252"/>
      <c r="O4" s="642"/>
      <c r="P4" s="643"/>
      <c r="Q4" s="252"/>
      <c r="R4" s="633"/>
      <c r="S4" s="764"/>
      <c r="T4" s="645"/>
      <c r="U4" s="254"/>
      <c r="V4" s="647"/>
      <c r="W4" s="253"/>
      <c r="X4" s="647"/>
      <c r="Y4" s="253"/>
      <c r="Z4" s="645"/>
      <c r="AA4" s="255"/>
      <c r="AB4" s="765"/>
      <c r="AC4" s="765"/>
      <c r="AD4" s="765"/>
      <c r="AE4" s="630"/>
    </row>
    <row r="5" spans="1:31">
      <c r="A5" s="638"/>
      <c r="B5" s="636"/>
      <c r="C5" s="633"/>
      <c r="D5" s="637"/>
      <c r="E5" s="637"/>
      <c r="F5" s="637"/>
      <c r="G5" s="637"/>
      <c r="H5" s="637"/>
      <c r="I5" s="633"/>
      <c r="J5" s="633"/>
      <c r="K5" s="637"/>
      <c r="L5" s="637"/>
      <c r="M5" s="637"/>
      <c r="N5" s="633"/>
      <c r="O5" s="633"/>
      <c r="P5" s="637"/>
      <c r="Q5" s="633"/>
      <c r="R5" s="633"/>
      <c r="S5" s="633"/>
      <c r="T5" s="645"/>
      <c r="U5" s="645"/>
      <c r="V5" s="645"/>
      <c r="W5" s="645"/>
      <c r="X5" s="645"/>
      <c r="Y5" s="645"/>
      <c r="Z5" s="645"/>
      <c r="AA5" s="653"/>
      <c r="AB5" s="765"/>
      <c r="AC5" s="765"/>
      <c r="AD5" s="765"/>
      <c r="AE5" s="630"/>
    </row>
    <row r="6" spans="1:31">
      <c r="A6" s="244"/>
      <c r="B6" s="245"/>
      <c r="C6" s="246"/>
      <c r="D6" s="247"/>
      <c r="E6" s="247"/>
      <c r="F6" s="247"/>
      <c r="G6" s="247"/>
      <c r="H6" s="247"/>
      <c r="I6" s="246"/>
      <c r="J6" s="246"/>
      <c r="K6" s="247"/>
      <c r="L6" s="247"/>
      <c r="M6" s="247"/>
      <c r="N6" s="246"/>
      <c r="O6" s="246"/>
      <c r="P6" s="247"/>
      <c r="Q6" s="246"/>
      <c r="R6" s="246"/>
      <c r="S6" s="246"/>
      <c r="T6" s="326"/>
      <c r="U6" s="326"/>
      <c r="V6" s="326"/>
      <c r="W6" s="326"/>
      <c r="X6" s="326"/>
      <c r="Y6" s="326"/>
      <c r="Z6" s="326"/>
      <c r="AA6" s="654"/>
      <c r="AB6" s="765"/>
      <c r="AC6" s="765"/>
      <c r="AD6" s="765"/>
      <c r="AE6" s="630"/>
    </row>
    <row r="7" spans="1:31" s="73" customFormat="1">
      <c r="A7" s="244"/>
      <c r="B7" s="248"/>
      <c r="C7" s="256"/>
      <c r="D7" s="663"/>
      <c r="E7" s="257"/>
      <c r="F7" s="663"/>
      <c r="G7" s="257"/>
      <c r="H7" s="663"/>
      <c r="I7" s="256"/>
      <c r="J7" s="256"/>
      <c r="K7" s="663"/>
      <c r="L7" s="663"/>
      <c r="M7" s="663"/>
      <c r="N7" s="256"/>
      <c r="O7" s="664"/>
      <c r="P7" s="663"/>
      <c r="Q7" s="256"/>
      <c r="R7" s="256"/>
      <c r="S7" s="256"/>
      <c r="T7" s="327"/>
      <c r="U7" s="327"/>
      <c r="V7" s="327"/>
      <c r="W7" s="327"/>
      <c r="X7" s="327"/>
      <c r="Y7" s="327"/>
      <c r="Z7" s="327"/>
      <c r="AA7" s="655"/>
      <c r="AB7" s="766"/>
      <c r="AC7" s="766"/>
      <c r="AD7" s="766"/>
      <c r="AE7" s="630"/>
    </row>
    <row r="8" spans="1:31" s="73" customFormat="1">
      <c r="A8" s="244"/>
      <c r="B8" s="245"/>
      <c r="C8" s="246"/>
      <c r="D8" s="247"/>
      <c r="E8" s="247"/>
      <c r="F8" s="247"/>
      <c r="G8" s="247"/>
      <c r="H8" s="247"/>
      <c r="I8" s="246"/>
      <c r="J8" s="246"/>
      <c r="K8" s="247"/>
      <c r="L8" s="247"/>
      <c r="M8" s="247"/>
      <c r="N8" s="246"/>
      <c r="O8" s="328"/>
      <c r="P8" s="247"/>
      <c r="Q8" s="246"/>
      <c r="R8" s="246"/>
      <c r="S8" s="246"/>
      <c r="T8" s="326"/>
      <c r="U8" s="326"/>
      <c r="V8" s="326"/>
      <c r="W8" s="326"/>
      <c r="X8" s="326"/>
      <c r="Y8" s="326"/>
      <c r="Z8" s="326"/>
      <c r="AA8" s="656"/>
      <c r="AB8" s="765"/>
      <c r="AC8" s="765"/>
      <c r="AD8" s="765"/>
      <c r="AE8" s="630"/>
    </row>
    <row r="9" spans="1:31" s="73" customFormat="1">
      <c r="A9" s="244"/>
      <c r="B9" s="245"/>
      <c r="C9" s="246"/>
      <c r="D9" s="247"/>
      <c r="E9" s="247"/>
      <c r="F9" s="247"/>
      <c r="G9" s="247"/>
      <c r="H9" s="247"/>
      <c r="I9" s="246"/>
      <c r="J9" s="246"/>
      <c r="K9" s="247"/>
      <c r="L9" s="247"/>
      <c r="M9" s="247"/>
      <c r="N9" s="246"/>
      <c r="O9" s="328"/>
      <c r="P9" s="247"/>
      <c r="Q9" s="246"/>
      <c r="R9" s="246"/>
      <c r="S9" s="246"/>
      <c r="T9" s="326"/>
      <c r="U9" s="326"/>
      <c r="V9" s="326"/>
      <c r="W9" s="326"/>
      <c r="X9" s="326"/>
      <c r="Y9" s="326"/>
      <c r="Z9" s="326"/>
      <c r="AA9" s="656"/>
      <c r="AB9" s="765"/>
      <c r="AC9" s="765"/>
      <c r="AD9" s="765"/>
      <c r="AE9" s="630"/>
    </row>
    <row r="10" spans="1:31" s="73" customFormat="1">
      <c r="A10" s="244"/>
      <c r="B10" s="248"/>
      <c r="C10" s="256"/>
      <c r="D10" s="257"/>
      <c r="E10" s="257"/>
      <c r="F10" s="257"/>
      <c r="G10" s="257"/>
      <c r="H10" s="257"/>
      <c r="I10" s="256"/>
      <c r="J10" s="256"/>
      <c r="K10" s="257"/>
      <c r="L10" s="257"/>
      <c r="M10" s="257"/>
      <c r="N10" s="256"/>
      <c r="O10" s="652"/>
      <c r="P10" s="257"/>
      <c r="Q10" s="256"/>
      <c r="R10" s="256"/>
      <c r="S10" s="256"/>
      <c r="T10" s="327"/>
      <c r="U10" s="327"/>
      <c r="V10" s="327"/>
      <c r="W10" s="327"/>
      <c r="X10" s="327"/>
      <c r="Y10" s="327"/>
      <c r="Z10" s="327"/>
      <c r="AA10" s="655"/>
      <c r="AB10" s="766"/>
      <c r="AC10" s="766"/>
      <c r="AD10" s="766"/>
      <c r="AE10" s="630"/>
    </row>
    <row r="11" spans="1:31" s="73" customFormat="1">
      <c r="A11" s="244"/>
      <c r="B11" s="245"/>
      <c r="C11" s="246"/>
      <c r="D11" s="247"/>
      <c r="E11" s="247"/>
      <c r="F11" s="247"/>
      <c r="G11" s="247"/>
      <c r="H11" s="247"/>
      <c r="I11" s="246"/>
      <c r="J11" s="246"/>
      <c r="K11" s="247"/>
      <c r="L11" s="247"/>
      <c r="M11" s="247"/>
      <c r="N11" s="246"/>
      <c r="O11" s="328"/>
      <c r="P11" s="247"/>
      <c r="Q11" s="246"/>
      <c r="R11" s="246"/>
      <c r="S11" s="246"/>
      <c r="T11" s="326"/>
      <c r="U11" s="326"/>
      <c r="V11" s="326"/>
      <c r="W11" s="326"/>
      <c r="X11" s="326"/>
      <c r="Y11" s="326"/>
      <c r="Z11" s="326"/>
      <c r="AA11" s="656"/>
      <c r="AB11" s="765"/>
      <c r="AC11" s="765"/>
      <c r="AD11" s="765"/>
      <c r="AE11" s="630"/>
    </row>
    <row r="12" spans="1:31" s="73" customFormat="1">
      <c r="A12" s="244"/>
      <c r="B12" s="245"/>
      <c r="C12" s="246"/>
      <c r="D12" s="247"/>
      <c r="E12" s="247"/>
      <c r="F12" s="247"/>
      <c r="G12" s="247"/>
      <c r="H12" s="247"/>
      <c r="I12" s="246"/>
      <c r="J12" s="246"/>
      <c r="K12" s="247"/>
      <c r="L12" s="247"/>
      <c r="M12" s="247"/>
      <c r="N12" s="246"/>
      <c r="O12" s="328"/>
      <c r="P12" s="247"/>
      <c r="Q12" s="246"/>
      <c r="R12" s="246"/>
      <c r="S12" s="246"/>
      <c r="T12" s="326"/>
      <c r="U12" s="326"/>
      <c r="V12" s="326"/>
      <c r="W12" s="326"/>
      <c r="X12" s="326"/>
      <c r="Y12" s="326"/>
      <c r="Z12" s="326"/>
      <c r="AA12" s="656"/>
      <c r="AB12" s="765"/>
      <c r="AC12" s="765"/>
      <c r="AD12" s="765"/>
      <c r="AE12" s="630"/>
    </row>
    <row r="13" spans="1:31" s="73" customFormat="1">
      <c r="A13" s="244"/>
      <c r="B13" s="248"/>
      <c r="C13" s="256"/>
      <c r="D13" s="257"/>
      <c r="E13" s="257"/>
      <c r="F13" s="663"/>
      <c r="G13" s="257"/>
      <c r="H13" s="257"/>
      <c r="I13" s="256"/>
      <c r="J13" s="256"/>
      <c r="K13" s="257"/>
      <c r="L13" s="257"/>
      <c r="M13" s="257"/>
      <c r="N13" s="256"/>
      <c r="O13" s="652"/>
      <c r="P13" s="257"/>
      <c r="Q13" s="256"/>
      <c r="R13" s="256"/>
      <c r="S13" s="256"/>
      <c r="T13" s="327"/>
      <c r="U13" s="327"/>
      <c r="V13" s="327"/>
      <c r="W13" s="327"/>
      <c r="X13" s="327"/>
      <c r="Y13" s="327"/>
      <c r="Z13" s="327"/>
      <c r="AA13" s="655"/>
      <c r="AB13" s="766"/>
      <c r="AC13" s="766"/>
      <c r="AD13" s="766"/>
      <c r="AE13" s="630"/>
    </row>
    <row r="14" spans="1:31" s="73" customFormat="1">
      <c r="A14" s="244"/>
      <c r="B14" s="245"/>
      <c r="C14" s="246"/>
      <c r="D14" s="247"/>
      <c r="E14" s="247"/>
      <c r="F14" s="247"/>
      <c r="G14" s="247"/>
      <c r="H14" s="247"/>
      <c r="I14" s="246"/>
      <c r="J14" s="246"/>
      <c r="K14" s="247"/>
      <c r="L14" s="247"/>
      <c r="M14" s="247"/>
      <c r="N14" s="246"/>
      <c r="O14" s="328"/>
      <c r="P14" s="247"/>
      <c r="Q14" s="246"/>
      <c r="R14" s="246"/>
      <c r="S14" s="246"/>
      <c r="T14" s="326"/>
      <c r="U14" s="326"/>
      <c r="V14" s="326"/>
      <c r="W14" s="326"/>
      <c r="X14" s="326"/>
      <c r="Y14" s="326"/>
      <c r="Z14" s="326"/>
      <c r="AA14" s="656"/>
      <c r="AB14" s="765"/>
      <c r="AC14" s="765"/>
      <c r="AD14" s="765"/>
      <c r="AE14" s="630"/>
    </row>
    <row r="15" spans="1:31" s="73" customFormat="1">
      <c r="A15" s="244"/>
      <c r="B15" s="245"/>
      <c r="C15" s="246"/>
      <c r="D15" s="247"/>
      <c r="E15" s="247"/>
      <c r="F15" s="247"/>
      <c r="G15" s="247"/>
      <c r="H15" s="247"/>
      <c r="I15" s="246"/>
      <c r="J15" s="246"/>
      <c r="K15" s="247"/>
      <c r="L15" s="247"/>
      <c r="M15" s="247"/>
      <c r="N15" s="246"/>
      <c r="O15" s="328"/>
      <c r="P15" s="247"/>
      <c r="Q15" s="246"/>
      <c r="R15" s="246"/>
      <c r="S15" s="246"/>
      <c r="T15" s="326"/>
      <c r="U15" s="326"/>
      <c r="V15" s="326"/>
      <c r="W15" s="326"/>
      <c r="X15" s="326"/>
      <c r="Y15" s="326"/>
      <c r="Z15" s="326"/>
      <c r="AA15" s="656"/>
      <c r="AB15" s="765"/>
      <c r="AC15" s="765"/>
      <c r="AD15" s="765"/>
      <c r="AE15" s="630"/>
    </row>
    <row r="16" spans="1:31" s="73" customFormat="1">
      <c r="A16" s="249"/>
      <c r="B16" s="325"/>
      <c r="C16" s="256"/>
      <c r="D16" s="257"/>
      <c r="E16" s="257"/>
      <c r="F16" s="257"/>
      <c r="G16" s="257"/>
      <c r="H16" s="257"/>
      <c r="I16" s="256"/>
      <c r="J16" s="256"/>
      <c r="K16" s="257"/>
      <c r="L16" s="257"/>
      <c r="M16" s="257"/>
      <c r="N16" s="256"/>
      <c r="O16" s="652"/>
      <c r="P16" s="257"/>
      <c r="Q16" s="256"/>
      <c r="R16" s="256"/>
      <c r="S16" s="256"/>
      <c r="T16" s="327"/>
      <c r="U16" s="327"/>
      <c r="V16" s="327"/>
      <c r="W16" s="327"/>
      <c r="X16" s="327"/>
      <c r="Y16" s="327"/>
      <c r="Z16" s="327"/>
      <c r="AA16" s="655"/>
      <c r="AB16" s="766"/>
      <c r="AC16" s="766"/>
      <c r="AD16" s="766"/>
      <c r="AE16" s="630"/>
    </row>
    <row r="17" spans="1:31" s="73" customFormat="1">
      <c r="A17" s="638"/>
      <c r="B17" s="636"/>
      <c r="C17" s="633"/>
      <c r="D17" s="637"/>
      <c r="E17" s="637"/>
      <c r="F17" s="637"/>
      <c r="G17" s="637"/>
      <c r="H17" s="637"/>
      <c r="I17" s="633"/>
      <c r="J17" s="633"/>
      <c r="K17" s="637"/>
      <c r="L17" s="637"/>
      <c r="M17" s="637"/>
      <c r="N17" s="633"/>
      <c r="O17" s="633"/>
      <c r="P17" s="637"/>
      <c r="Q17" s="633"/>
      <c r="R17" s="633"/>
      <c r="S17" s="633"/>
      <c r="T17" s="645"/>
      <c r="U17" s="645"/>
      <c r="V17" s="645"/>
      <c r="W17" s="645"/>
      <c r="X17" s="645"/>
      <c r="Y17" s="645"/>
      <c r="Z17" s="645"/>
      <c r="AA17" s="653"/>
      <c r="AB17" s="765"/>
      <c r="AC17" s="765"/>
      <c r="AD17" s="765"/>
      <c r="AE17" s="630"/>
    </row>
    <row r="18" spans="1:31" s="73" customFormat="1">
      <c r="A18" s="244"/>
      <c r="B18" s="245"/>
      <c r="C18" s="246"/>
      <c r="D18" s="247"/>
      <c r="E18" s="247"/>
      <c r="F18" s="247"/>
      <c r="G18" s="247"/>
      <c r="H18" s="247"/>
      <c r="I18" s="246"/>
      <c r="J18" s="246"/>
      <c r="K18" s="247"/>
      <c r="L18" s="247"/>
      <c r="M18" s="247"/>
      <c r="N18" s="246"/>
      <c r="O18" s="246"/>
      <c r="P18" s="247"/>
      <c r="Q18" s="246"/>
      <c r="R18" s="246"/>
      <c r="S18" s="246"/>
      <c r="T18" s="326"/>
      <c r="U18" s="326"/>
      <c r="V18" s="326"/>
      <c r="W18" s="326"/>
      <c r="X18" s="326"/>
      <c r="Y18" s="326"/>
      <c r="Z18" s="326"/>
      <c r="AA18" s="654"/>
      <c r="AB18" s="765"/>
      <c r="AC18" s="765"/>
      <c r="AD18" s="765"/>
      <c r="AE18" s="630"/>
    </row>
    <row r="19" spans="1:31" s="73" customFormat="1">
      <c r="A19" s="244"/>
      <c r="B19" s="248"/>
      <c r="C19" s="665"/>
      <c r="D19" s="257"/>
      <c r="E19" s="257"/>
      <c r="F19" s="257"/>
      <c r="G19" s="257"/>
      <c r="H19" s="663"/>
      <c r="I19" s="256"/>
      <c r="J19" s="256"/>
      <c r="K19" s="257"/>
      <c r="L19" s="663"/>
      <c r="M19" s="663"/>
      <c r="N19" s="256"/>
      <c r="O19" s="652"/>
      <c r="P19" s="257"/>
      <c r="Q19" s="256"/>
      <c r="R19" s="256"/>
      <c r="S19" s="256"/>
      <c r="T19" s="327"/>
      <c r="U19" s="327"/>
      <c r="V19" s="327"/>
      <c r="W19" s="327"/>
      <c r="X19" s="327"/>
      <c r="Y19" s="327"/>
      <c r="Z19" s="327"/>
      <c r="AA19" s="655"/>
      <c r="AB19" s="766"/>
      <c r="AC19" s="766"/>
      <c r="AD19" s="766"/>
      <c r="AE19" s="630"/>
    </row>
    <row r="20" spans="1:31" s="73" customFormat="1">
      <c r="A20" s="244"/>
      <c r="B20" s="245"/>
      <c r="C20" s="246"/>
      <c r="D20" s="247"/>
      <c r="E20" s="247"/>
      <c r="F20" s="247"/>
      <c r="G20" s="247"/>
      <c r="H20" s="247"/>
      <c r="I20" s="246"/>
      <c r="J20" s="246"/>
      <c r="K20" s="247"/>
      <c r="L20" s="247"/>
      <c r="M20" s="247"/>
      <c r="N20" s="246"/>
      <c r="O20" s="328"/>
      <c r="P20" s="247"/>
      <c r="Q20" s="246"/>
      <c r="R20" s="246"/>
      <c r="S20" s="246"/>
      <c r="T20" s="326"/>
      <c r="U20" s="326"/>
      <c r="V20" s="326"/>
      <c r="W20" s="326"/>
      <c r="X20" s="326"/>
      <c r="Y20" s="326"/>
      <c r="Z20" s="326"/>
      <c r="AA20" s="656"/>
      <c r="AB20" s="765"/>
      <c r="AC20" s="765"/>
      <c r="AD20" s="765"/>
      <c r="AE20" s="630"/>
    </row>
    <row r="21" spans="1:31" s="73" customFormat="1">
      <c r="A21" s="244"/>
      <c r="B21" s="245"/>
      <c r="C21" s="246"/>
      <c r="D21" s="247"/>
      <c r="E21" s="247"/>
      <c r="F21" s="247"/>
      <c r="G21" s="247"/>
      <c r="H21" s="247"/>
      <c r="I21" s="246"/>
      <c r="J21" s="246"/>
      <c r="K21" s="247"/>
      <c r="L21" s="247"/>
      <c r="M21" s="247"/>
      <c r="N21" s="246"/>
      <c r="O21" s="328"/>
      <c r="P21" s="247"/>
      <c r="Q21" s="246"/>
      <c r="R21" s="246"/>
      <c r="S21" s="246"/>
      <c r="T21" s="326"/>
      <c r="U21" s="326"/>
      <c r="V21" s="326"/>
      <c r="W21" s="326"/>
      <c r="X21" s="326"/>
      <c r="Y21" s="326"/>
      <c r="Z21" s="326"/>
      <c r="AA21" s="656"/>
      <c r="AB21" s="765"/>
      <c r="AC21" s="765"/>
      <c r="AD21" s="765"/>
      <c r="AE21" s="630"/>
    </row>
    <row r="22" spans="1:31" s="73" customFormat="1">
      <c r="A22" s="244"/>
      <c r="B22" s="248"/>
      <c r="C22" s="256"/>
      <c r="D22" s="257"/>
      <c r="E22" s="257"/>
      <c r="F22" s="257"/>
      <c r="G22" s="257"/>
      <c r="H22" s="257"/>
      <c r="I22" s="256"/>
      <c r="J22" s="256"/>
      <c r="K22" s="257"/>
      <c r="L22" s="257"/>
      <c r="M22" s="257"/>
      <c r="N22" s="256"/>
      <c r="O22" s="652"/>
      <c r="P22" s="257"/>
      <c r="Q22" s="256"/>
      <c r="R22" s="256"/>
      <c r="S22" s="256"/>
      <c r="T22" s="327"/>
      <c r="U22" s="327"/>
      <c r="V22" s="327"/>
      <c r="W22" s="327"/>
      <c r="X22" s="327"/>
      <c r="Y22" s="327"/>
      <c r="Z22" s="327"/>
      <c r="AA22" s="655"/>
      <c r="AB22" s="766"/>
      <c r="AC22" s="766"/>
      <c r="AD22" s="766"/>
      <c r="AE22" s="630"/>
    </row>
    <row r="23" spans="1:31" s="73" customFormat="1">
      <c r="A23" s="244"/>
      <c r="B23" s="245"/>
      <c r="C23" s="246"/>
      <c r="D23" s="247"/>
      <c r="E23" s="247"/>
      <c r="F23" s="247"/>
      <c r="G23" s="247"/>
      <c r="H23" s="247"/>
      <c r="I23" s="246"/>
      <c r="J23" s="246"/>
      <c r="K23" s="247"/>
      <c r="L23" s="247"/>
      <c r="M23" s="247"/>
      <c r="N23" s="246"/>
      <c r="O23" s="328"/>
      <c r="P23" s="247"/>
      <c r="Q23" s="246"/>
      <c r="R23" s="246"/>
      <c r="S23" s="246"/>
      <c r="T23" s="326"/>
      <c r="U23" s="326"/>
      <c r="V23" s="326"/>
      <c r="W23" s="326"/>
      <c r="X23" s="326"/>
      <c r="Y23" s="326"/>
      <c r="Z23" s="326"/>
      <c r="AA23" s="656"/>
      <c r="AB23" s="765"/>
      <c r="AC23" s="765"/>
      <c r="AD23" s="765"/>
      <c r="AE23" s="630"/>
    </row>
    <row r="24" spans="1:31" s="73" customFormat="1">
      <c r="A24" s="244"/>
      <c r="B24" s="245"/>
      <c r="C24" s="246"/>
      <c r="D24" s="247"/>
      <c r="E24" s="247"/>
      <c r="F24" s="247"/>
      <c r="G24" s="247"/>
      <c r="H24" s="247"/>
      <c r="I24" s="246"/>
      <c r="J24" s="246"/>
      <c r="K24" s="247"/>
      <c r="L24" s="247"/>
      <c r="M24" s="247"/>
      <c r="N24" s="246"/>
      <c r="O24" s="328"/>
      <c r="P24" s="247"/>
      <c r="Q24" s="246"/>
      <c r="R24" s="246"/>
      <c r="S24" s="246"/>
      <c r="T24" s="326"/>
      <c r="U24" s="326"/>
      <c r="V24" s="326"/>
      <c r="W24" s="326"/>
      <c r="X24" s="326"/>
      <c r="Y24" s="326"/>
      <c r="Z24" s="326"/>
      <c r="AA24" s="656"/>
      <c r="AB24" s="765"/>
      <c r="AC24" s="765"/>
      <c r="AD24" s="765"/>
      <c r="AE24" s="630"/>
    </row>
    <row r="25" spans="1:31" s="73" customFormat="1">
      <c r="A25" s="244"/>
      <c r="B25" s="248"/>
      <c r="C25" s="256"/>
      <c r="D25" s="257"/>
      <c r="E25" s="663"/>
      <c r="F25" s="257"/>
      <c r="G25" s="257"/>
      <c r="H25" s="257"/>
      <c r="I25" s="256"/>
      <c r="J25" s="256"/>
      <c r="K25" s="257"/>
      <c r="L25" s="257"/>
      <c r="M25" s="257"/>
      <c r="N25" s="256"/>
      <c r="O25" s="652"/>
      <c r="P25" s="257"/>
      <c r="Q25" s="256"/>
      <c r="R25" s="256"/>
      <c r="S25" s="256"/>
      <c r="T25" s="327"/>
      <c r="U25" s="327"/>
      <c r="V25" s="327"/>
      <c r="W25" s="327"/>
      <c r="X25" s="327"/>
      <c r="Y25" s="327"/>
      <c r="Z25" s="327"/>
      <c r="AA25" s="655"/>
      <c r="AB25" s="766"/>
      <c r="AC25" s="766"/>
      <c r="AD25" s="766"/>
      <c r="AE25" s="630"/>
    </row>
    <row r="26" spans="1:31" s="73" customFormat="1">
      <c r="A26" s="244"/>
      <c r="B26" s="245"/>
      <c r="C26" s="246"/>
      <c r="D26" s="247"/>
      <c r="E26" s="247"/>
      <c r="F26" s="247"/>
      <c r="G26" s="247"/>
      <c r="H26" s="247"/>
      <c r="I26" s="246"/>
      <c r="J26" s="246"/>
      <c r="K26" s="247"/>
      <c r="L26" s="247"/>
      <c r="M26" s="247"/>
      <c r="N26" s="246"/>
      <c r="O26" s="328"/>
      <c r="P26" s="247"/>
      <c r="Q26" s="246"/>
      <c r="R26" s="246"/>
      <c r="S26" s="246"/>
      <c r="T26" s="326"/>
      <c r="U26" s="326"/>
      <c r="V26" s="326"/>
      <c r="W26" s="326"/>
      <c r="X26" s="326"/>
      <c r="Y26" s="326"/>
      <c r="Z26" s="326"/>
      <c r="AA26" s="656"/>
      <c r="AB26" s="765"/>
      <c r="AC26" s="765"/>
      <c r="AD26" s="765"/>
      <c r="AE26" s="630"/>
    </row>
    <row r="27" spans="1:31" s="73" customFormat="1">
      <c r="A27" s="244"/>
      <c r="B27" s="245"/>
      <c r="C27" s="246"/>
      <c r="D27" s="247"/>
      <c r="E27" s="247"/>
      <c r="F27" s="247"/>
      <c r="G27" s="247"/>
      <c r="H27" s="247"/>
      <c r="I27" s="246"/>
      <c r="J27" s="246"/>
      <c r="K27" s="247"/>
      <c r="L27" s="247"/>
      <c r="M27" s="247"/>
      <c r="N27" s="246"/>
      <c r="O27" s="328"/>
      <c r="P27" s="247"/>
      <c r="Q27" s="246"/>
      <c r="R27" s="246"/>
      <c r="S27" s="246"/>
      <c r="T27" s="326"/>
      <c r="U27" s="326"/>
      <c r="V27" s="326"/>
      <c r="W27" s="326"/>
      <c r="X27" s="326"/>
      <c r="Y27" s="326"/>
      <c r="Z27" s="326"/>
      <c r="AA27" s="656"/>
      <c r="AB27" s="765"/>
      <c r="AC27" s="765"/>
      <c r="AD27" s="765"/>
      <c r="AE27" s="630"/>
    </row>
    <row r="28" spans="1:31" s="73" customFormat="1">
      <c r="A28" s="249"/>
      <c r="B28" s="325"/>
      <c r="C28" s="256"/>
      <c r="D28" s="257"/>
      <c r="E28" s="257"/>
      <c r="F28" s="257"/>
      <c r="G28" s="257"/>
      <c r="H28" s="257"/>
      <c r="I28" s="256"/>
      <c r="J28" s="256"/>
      <c r="K28" s="257"/>
      <c r="L28" s="257"/>
      <c r="M28" s="257"/>
      <c r="N28" s="256"/>
      <c r="O28" s="652"/>
      <c r="P28" s="257"/>
      <c r="Q28" s="256"/>
      <c r="R28" s="256"/>
      <c r="S28" s="256"/>
      <c r="T28" s="327"/>
      <c r="U28" s="327"/>
      <c r="V28" s="327"/>
      <c r="W28" s="327"/>
      <c r="X28" s="327"/>
      <c r="Y28" s="327"/>
      <c r="Z28" s="327"/>
      <c r="AA28" s="655"/>
      <c r="AB28" s="766"/>
      <c r="AC28" s="766"/>
      <c r="AD28" s="766"/>
      <c r="AE28" s="630"/>
    </row>
    <row r="29" spans="1:31" s="73" customFormat="1">
      <c r="A29" s="638"/>
      <c r="B29" s="636"/>
      <c r="C29" s="633"/>
      <c r="D29" s="637"/>
      <c r="E29" s="637"/>
      <c r="F29" s="637"/>
      <c r="G29" s="637"/>
      <c r="H29" s="637"/>
      <c r="I29" s="633"/>
      <c r="J29" s="633"/>
      <c r="K29" s="637"/>
      <c r="L29" s="637"/>
      <c r="M29" s="637"/>
      <c r="N29" s="633"/>
      <c r="O29" s="633"/>
      <c r="P29" s="637"/>
      <c r="Q29" s="633"/>
      <c r="R29" s="633"/>
      <c r="S29" s="633"/>
      <c r="T29" s="645"/>
      <c r="U29" s="645"/>
      <c r="V29" s="645"/>
      <c r="W29" s="645"/>
      <c r="X29" s="645"/>
      <c r="Y29" s="645"/>
      <c r="Z29" s="645"/>
      <c r="AA29" s="653"/>
      <c r="AB29" s="765"/>
      <c r="AC29" s="765"/>
      <c r="AD29" s="765"/>
      <c r="AE29" s="630"/>
    </row>
    <row r="30" spans="1:31" s="73" customFormat="1">
      <c r="A30" s="244"/>
      <c r="B30" s="245"/>
      <c r="C30" s="246"/>
      <c r="D30" s="247"/>
      <c r="E30" s="247"/>
      <c r="F30" s="247"/>
      <c r="G30" s="247"/>
      <c r="H30" s="247"/>
      <c r="I30" s="246"/>
      <c r="J30" s="246"/>
      <c r="K30" s="247"/>
      <c r="L30" s="247"/>
      <c r="M30" s="247"/>
      <c r="N30" s="246"/>
      <c r="O30" s="246"/>
      <c r="P30" s="247"/>
      <c r="Q30" s="246"/>
      <c r="R30" s="246"/>
      <c r="S30" s="246"/>
      <c r="T30" s="326"/>
      <c r="U30" s="326"/>
      <c r="V30" s="326"/>
      <c r="W30" s="326"/>
      <c r="X30" s="326"/>
      <c r="Y30" s="326"/>
      <c r="Z30" s="326"/>
      <c r="AA30" s="654"/>
      <c r="AB30" s="765"/>
      <c r="AC30" s="765"/>
      <c r="AD30" s="765"/>
      <c r="AE30" s="630"/>
    </row>
    <row r="31" spans="1:31" s="73" customFormat="1">
      <c r="A31" s="244"/>
      <c r="B31" s="248"/>
      <c r="C31" s="256"/>
      <c r="D31" s="257"/>
      <c r="E31" s="257"/>
      <c r="F31" s="257"/>
      <c r="G31" s="257"/>
      <c r="H31" s="257"/>
      <c r="I31" s="256"/>
      <c r="J31" s="256"/>
      <c r="K31" s="663"/>
      <c r="L31" s="663"/>
      <c r="M31" s="257"/>
      <c r="N31" s="256"/>
      <c r="O31" s="652"/>
      <c r="P31" s="257"/>
      <c r="Q31" s="256"/>
      <c r="R31" s="256"/>
      <c r="S31" s="256"/>
      <c r="T31" s="327"/>
      <c r="U31" s="327"/>
      <c r="V31" s="327"/>
      <c r="W31" s="327"/>
      <c r="X31" s="327"/>
      <c r="Y31" s="327"/>
      <c r="Z31" s="327"/>
      <c r="AA31" s="655"/>
      <c r="AB31" s="766"/>
      <c r="AC31" s="766"/>
      <c r="AD31" s="766"/>
      <c r="AE31" s="630"/>
    </row>
    <row r="32" spans="1:31" s="73" customFormat="1">
      <c r="A32" s="244"/>
      <c r="B32" s="245"/>
      <c r="C32" s="246"/>
      <c r="D32" s="247"/>
      <c r="E32" s="247"/>
      <c r="F32" s="247"/>
      <c r="G32" s="247"/>
      <c r="H32" s="247"/>
      <c r="I32" s="246"/>
      <c r="J32" s="246"/>
      <c r="K32" s="247"/>
      <c r="L32" s="247"/>
      <c r="M32" s="247"/>
      <c r="N32" s="246"/>
      <c r="O32" s="328"/>
      <c r="P32" s="247"/>
      <c r="Q32" s="246"/>
      <c r="R32" s="246"/>
      <c r="S32" s="246"/>
      <c r="T32" s="326"/>
      <c r="U32" s="326"/>
      <c r="V32" s="326"/>
      <c r="W32" s="326"/>
      <c r="X32" s="326"/>
      <c r="Y32" s="326"/>
      <c r="Z32" s="326"/>
      <c r="AA32" s="656"/>
      <c r="AB32" s="765"/>
      <c r="AC32" s="765"/>
      <c r="AD32" s="765"/>
      <c r="AE32" s="630"/>
    </row>
    <row r="33" spans="1:31" s="73" customFormat="1">
      <c r="A33" s="244"/>
      <c r="B33" s="245"/>
      <c r="C33" s="246"/>
      <c r="D33" s="247"/>
      <c r="E33" s="247"/>
      <c r="F33" s="247"/>
      <c r="G33" s="247"/>
      <c r="H33" s="247"/>
      <c r="I33" s="246"/>
      <c r="J33" s="246"/>
      <c r="K33" s="247"/>
      <c r="L33" s="247"/>
      <c r="M33" s="247"/>
      <c r="N33" s="246"/>
      <c r="O33" s="328"/>
      <c r="P33" s="247"/>
      <c r="Q33" s="246"/>
      <c r="R33" s="246"/>
      <c r="S33" s="246"/>
      <c r="T33" s="326"/>
      <c r="U33" s="326"/>
      <c r="V33" s="326"/>
      <c r="W33" s="326"/>
      <c r="X33" s="326"/>
      <c r="Y33" s="326"/>
      <c r="Z33" s="326"/>
      <c r="AA33" s="656"/>
      <c r="AB33" s="765"/>
      <c r="AC33" s="765"/>
      <c r="AD33" s="765"/>
      <c r="AE33" s="630"/>
    </row>
    <row r="34" spans="1:31" s="73" customFormat="1">
      <c r="A34" s="244"/>
      <c r="B34" s="248"/>
      <c r="C34" s="256"/>
      <c r="D34" s="257"/>
      <c r="E34" s="257"/>
      <c r="F34" s="257"/>
      <c r="G34" s="257"/>
      <c r="H34" s="257"/>
      <c r="I34" s="256"/>
      <c r="J34" s="256"/>
      <c r="K34" s="257"/>
      <c r="L34" s="257"/>
      <c r="M34" s="257"/>
      <c r="N34" s="256"/>
      <c r="O34" s="652"/>
      <c r="P34" s="257"/>
      <c r="Q34" s="256"/>
      <c r="R34" s="256"/>
      <c r="S34" s="256"/>
      <c r="T34" s="327"/>
      <c r="U34" s="327"/>
      <c r="V34" s="327"/>
      <c r="W34" s="327"/>
      <c r="X34" s="327"/>
      <c r="Y34" s="327"/>
      <c r="Z34" s="327"/>
      <c r="AA34" s="655"/>
      <c r="AB34" s="766"/>
      <c r="AC34" s="766"/>
      <c r="AD34" s="766"/>
      <c r="AE34" s="630"/>
    </row>
    <row r="35" spans="1:31" s="73" customFormat="1">
      <c r="A35" s="244"/>
      <c r="B35" s="245"/>
      <c r="C35" s="246"/>
      <c r="D35" s="247"/>
      <c r="E35" s="247"/>
      <c r="F35" s="247"/>
      <c r="G35" s="247"/>
      <c r="H35" s="247"/>
      <c r="I35" s="246"/>
      <c r="J35" s="246"/>
      <c r="K35" s="247"/>
      <c r="L35" s="247"/>
      <c r="M35" s="247"/>
      <c r="N35" s="246"/>
      <c r="O35" s="328"/>
      <c r="P35" s="247"/>
      <c r="Q35" s="246"/>
      <c r="R35" s="246"/>
      <c r="S35" s="246"/>
      <c r="T35" s="326"/>
      <c r="U35" s="326"/>
      <c r="V35" s="326"/>
      <c r="W35" s="326"/>
      <c r="X35" s="326"/>
      <c r="Y35" s="326"/>
      <c r="Z35" s="326"/>
      <c r="AA35" s="656"/>
      <c r="AB35" s="765"/>
      <c r="AC35" s="765"/>
      <c r="AD35" s="765"/>
      <c r="AE35" s="630"/>
    </row>
    <row r="36" spans="1:31" s="73" customFormat="1">
      <c r="A36" s="244"/>
      <c r="B36" s="245"/>
      <c r="C36" s="246"/>
      <c r="D36" s="247"/>
      <c r="E36" s="247"/>
      <c r="F36" s="247"/>
      <c r="G36" s="247"/>
      <c r="H36" s="247"/>
      <c r="I36" s="246"/>
      <c r="J36" s="246"/>
      <c r="K36" s="247"/>
      <c r="L36" s="247"/>
      <c r="M36" s="247"/>
      <c r="N36" s="246"/>
      <c r="O36" s="328"/>
      <c r="P36" s="247"/>
      <c r="Q36" s="246"/>
      <c r="R36" s="246"/>
      <c r="S36" s="246"/>
      <c r="T36" s="326"/>
      <c r="U36" s="326"/>
      <c r="V36" s="326"/>
      <c r="W36" s="326"/>
      <c r="X36" s="326"/>
      <c r="Y36" s="326"/>
      <c r="Z36" s="326"/>
      <c r="AA36" s="656"/>
      <c r="AB36" s="765"/>
      <c r="AC36" s="765"/>
      <c r="AD36" s="765"/>
      <c r="AE36" s="630"/>
    </row>
    <row r="37" spans="1:31" s="73" customFormat="1">
      <c r="A37" s="244"/>
      <c r="B37" s="248"/>
      <c r="C37" s="256"/>
      <c r="D37" s="257"/>
      <c r="E37" s="257"/>
      <c r="F37" s="257"/>
      <c r="G37" s="257"/>
      <c r="H37" s="257"/>
      <c r="I37" s="256"/>
      <c r="J37" s="256"/>
      <c r="K37" s="257"/>
      <c r="L37" s="257"/>
      <c r="M37" s="257"/>
      <c r="N37" s="256"/>
      <c r="O37" s="652"/>
      <c r="P37" s="257"/>
      <c r="Q37" s="256"/>
      <c r="R37" s="256"/>
      <c r="S37" s="256"/>
      <c r="T37" s="327"/>
      <c r="U37" s="327"/>
      <c r="V37" s="327"/>
      <c r="W37" s="327"/>
      <c r="X37" s="327"/>
      <c r="Y37" s="327"/>
      <c r="Z37" s="327"/>
      <c r="AA37" s="655"/>
      <c r="AB37" s="766"/>
      <c r="AC37" s="766"/>
      <c r="AD37" s="766"/>
      <c r="AE37" s="630"/>
    </row>
    <row r="38" spans="1:31" s="73" customFormat="1">
      <c r="A38" s="244"/>
      <c r="B38" s="245"/>
      <c r="C38" s="246"/>
      <c r="D38" s="247"/>
      <c r="E38" s="247"/>
      <c r="F38" s="247"/>
      <c r="G38" s="247"/>
      <c r="H38" s="247"/>
      <c r="I38" s="246"/>
      <c r="J38" s="246"/>
      <c r="K38" s="247"/>
      <c r="L38" s="247"/>
      <c r="M38" s="247"/>
      <c r="N38" s="246"/>
      <c r="O38" s="328"/>
      <c r="P38" s="247"/>
      <c r="Q38" s="246"/>
      <c r="R38" s="246"/>
      <c r="S38" s="246"/>
      <c r="T38" s="326"/>
      <c r="U38" s="326"/>
      <c r="V38" s="326"/>
      <c r="W38" s="326"/>
      <c r="X38" s="326"/>
      <c r="Y38" s="326"/>
      <c r="Z38" s="326"/>
      <c r="AA38" s="656"/>
      <c r="AB38" s="765"/>
      <c r="AC38" s="765"/>
      <c r="AD38" s="765"/>
      <c r="AE38" s="630"/>
    </row>
    <row r="39" spans="1:31" s="73" customFormat="1">
      <c r="A39" s="244"/>
      <c r="B39" s="245"/>
      <c r="C39" s="246"/>
      <c r="D39" s="247"/>
      <c r="E39" s="247"/>
      <c r="F39" s="247"/>
      <c r="G39" s="247"/>
      <c r="H39" s="247"/>
      <c r="I39" s="246"/>
      <c r="J39" s="246"/>
      <c r="K39" s="247"/>
      <c r="L39" s="247"/>
      <c r="M39" s="247"/>
      <c r="N39" s="246"/>
      <c r="O39" s="328"/>
      <c r="P39" s="247"/>
      <c r="Q39" s="246"/>
      <c r="R39" s="246"/>
      <c r="S39" s="246"/>
      <c r="T39" s="326"/>
      <c r="U39" s="326"/>
      <c r="V39" s="326"/>
      <c r="W39" s="326"/>
      <c r="X39" s="326"/>
      <c r="Y39" s="326"/>
      <c r="Z39" s="326"/>
      <c r="AA39" s="656"/>
      <c r="AB39" s="765"/>
      <c r="AC39" s="765"/>
      <c r="AD39" s="765"/>
      <c r="AE39" s="630"/>
    </row>
    <row r="40" spans="1:31" s="73" customFormat="1">
      <c r="A40" s="249"/>
      <c r="B40" s="325"/>
      <c r="C40" s="256"/>
      <c r="D40" s="257"/>
      <c r="E40" s="257"/>
      <c r="F40" s="257"/>
      <c r="G40" s="257"/>
      <c r="H40" s="257"/>
      <c r="I40" s="256"/>
      <c r="J40" s="256"/>
      <c r="K40" s="257"/>
      <c r="L40" s="257"/>
      <c r="M40" s="257"/>
      <c r="N40" s="256"/>
      <c r="O40" s="652"/>
      <c r="P40" s="257"/>
      <c r="Q40" s="256"/>
      <c r="R40" s="256"/>
      <c r="S40" s="256"/>
      <c r="T40" s="327"/>
      <c r="U40" s="327"/>
      <c r="V40" s="327"/>
      <c r="W40" s="327"/>
      <c r="X40" s="327"/>
      <c r="Y40" s="327"/>
      <c r="Z40" s="327"/>
      <c r="AA40" s="655"/>
      <c r="AB40" s="766"/>
      <c r="AC40" s="766"/>
      <c r="AD40" s="766"/>
      <c r="AE40" s="630"/>
    </row>
    <row r="41" spans="1:31" s="73" customFormat="1">
      <c r="A41" s="638"/>
      <c r="B41" s="636"/>
      <c r="C41" s="633"/>
      <c r="D41" s="637"/>
      <c r="E41" s="637"/>
      <c r="F41" s="637"/>
      <c r="G41" s="637"/>
      <c r="H41" s="637"/>
      <c r="I41" s="633"/>
      <c r="J41" s="633"/>
      <c r="K41" s="637"/>
      <c r="L41" s="637"/>
      <c r="M41" s="637"/>
      <c r="N41" s="633"/>
      <c r="O41" s="633"/>
      <c r="P41" s="637"/>
      <c r="Q41" s="633"/>
      <c r="R41" s="633"/>
      <c r="S41" s="633"/>
      <c r="T41" s="645"/>
      <c r="U41" s="645"/>
      <c r="V41" s="645"/>
      <c r="W41" s="645"/>
      <c r="X41" s="645"/>
      <c r="Y41" s="645"/>
      <c r="Z41" s="645"/>
      <c r="AA41" s="653"/>
      <c r="AB41" s="765"/>
      <c r="AC41" s="765"/>
      <c r="AD41" s="765"/>
      <c r="AE41" s="630"/>
    </row>
    <row r="42" spans="1:31" s="73" customFormat="1">
      <c r="A42" s="244"/>
      <c r="B42" s="245"/>
      <c r="C42" s="246"/>
      <c r="D42" s="247"/>
      <c r="E42" s="247"/>
      <c r="F42" s="247"/>
      <c r="G42" s="247"/>
      <c r="H42" s="247"/>
      <c r="I42" s="246"/>
      <c r="J42" s="246"/>
      <c r="K42" s="247"/>
      <c r="L42" s="247"/>
      <c r="M42" s="247"/>
      <c r="N42" s="246"/>
      <c r="O42" s="246"/>
      <c r="P42" s="247"/>
      <c r="Q42" s="246"/>
      <c r="R42" s="246"/>
      <c r="S42" s="246"/>
      <c r="T42" s="326"/>
      <c r="U42" s="326"/>
      <c r="V42" s="326"/>
      <c r="W42" s="326"/>
      <c r="X42" s="326"/>
      <c r="Y42" s="326"/>
      <c r="Z42" s="326"/>
      <c r="AA42" s="654"/>
      <c r="AB42" s="765"/>
      <c r="AC42" s="765"/>
      <c r="AD42" s="765"/>
      <c r="AE42" s="630"/>
    </row>
    <row r="43" spans="1:31" s="73" customFormat="1">
      <c r="A43" s="244"/>
      <c r="B43" s="248"/>
      <c r="C43" s="256"/>
      <c r="D43" s="257"/>
      <c r="E43" s="257"/>
      <c r="F43" s="257"/>
      <c r="G43" s="257"/>
      <c r="H43" s="257"/>
      <c r="I43" s="256"/>
      <c r="J43" s="256"/>
      <c r="K43" s="257"/>
      <c r="L43" s="257"/>
      <c r="M43" s="257"/>
      <c r="N43" s="256"/>
      <c r="O43" s="652"/>
      <c r="P43" s="257"/>
      <c r="Q43" s="256"/>
      <c r="R43" s="256"/>
      <c r="S43" s="256"/>
      <c r="T43" s="327"/>
      <c r="U43" s="327"/>
      <c r="V43" s="327"/>
      <c r="W43" s="327"/>
      <c r="X43" s="327"/>
      <c r="Y43" s="327"/>
      <c r="Z43" s="327"/>
      <c r="AA43" s="655"/>
      <c r="AB43" s="766"/>
      <c r="AC43" s="766"/>
      <c r="AD43" s="766"/>
      <c r="AE43" s="630"/>
    </row>
    <row r="44" spans="1:31" s="73" customFormat="1">
      <c r="A44" s="244"/>
      <c r="B44" s="245"/>
      <c r="C44" s="246"/>
      <c r="D44" s="247"/>
      <c r="E44" s="247"/>
      <c r="F44" s="247"/>
      <c r="G44" s="247"/>
      <c r="H44" s="247"/>
      <c r="I44" s="246"/>
      <c r="J44" s="246"/>
      <c r="K44" s="247"/>
      <c r="L44" s="247"/>
      <c r="M44" s="247"/>
      <c r="N44" s="246"/>
      <c r="O44" s="328"/>
      <c r="P44" s="247"/>
      <c r="Q44" s="246"/>
      <c r="R44" s="246"/>
      <c r="S44" s="246"/>
      <c r="T44" s="326"/>
      <c r="U44" s="326"/>
      <c r="V44" s="326"/>
      <c r="W44" s="326"/>
      <c r="X44" s="326"/>
      <c r="Y44" s="326"/>
      <c r="Z44" s="326"/>
      <c r="AA44" s="656"/>
      <c r="AB44" s="765"/>
      <c r="AC44" s="765"/>
      <c r="AD44" s="765"/>
      <c r="AE44" s="630"/>
    </row>
    <row r="45" spans="1:31" s="73" customFormat="1">
      <c r="A45" s="244"/>
      <c r="B45" s="245"/>
      <c r="C45" s="246"/>
      <c r="D45" s="247"/>
      <c r="E45" s="247"/>
      <c r="F45" s="247"/>
      <c r="G45" s="247"/>
      <c r="H45" s="247"/>
      <c r="I45" s="246"/>
      <c r="J45" s="246"/>
      <c r="K45" s="247"/>
      <c r="L45" s="247"/>
      <c r="M45" s="247"/>
      <c r="N45" s="246"/>
      <c r="O45" s="328"/>
      <c r="P45" s="247"/>
      <c r="Q45" s="246"/>
      <c r="R45" s="246"/>
      <c r="S45" s="246"/>
      <c r="T45" s="326"/>
      <c r="U45" s="326"/>
      <c r="V45" s="326"/>
      <c r="W45" s="326"/>
      <c r="X45" s="326"/>
      <c r="Y45" s="326"/>
      <c r="Z45" s="326"/>
      <c r="AA45" s="656"/>
      <c r="AB45" s="765"/>
      <c r="AC45" s="765"/>
      <c r="AD45" s="765"/>
      <c r="AE45" s="630"/>
    </row>
    <row r="46" spans="1:31" s="73" customFormat="1">
      <c r="A46" s="244"/>
      <c r="B46" s="248"/>
      <c r="C46" s="256"/>
      <c r="D46" s="257"/>
      <c r="E46" s="257"/>
      <c r="F46" s="257"/>
      <c r="G46" s="257"/>
      <c r="H46" s="257"/>
      <c r="I46" s="256"/>
      <c r="J46" s="665"/>
      <c r="K46" s="663"/>
      <c r="L46" s="663"/>
      <c r="M46" s="257"/>
      <c r="N46" s="256"/>
      <c r="O46" s="652"/>
      <c r="P46" s="257"/>
      <c r="Q46" s="256"/>
      <c r="R46" s="256"/>
      <c r="S46" s="256"/>
      <c r="T46" s="327"/>
      <c r="U46" s="327"/>
      <c r="V46" s="327"/>
      <c r="W46" s="327"/>
      <c r="X46" s="327"/>
      <c r="Y46" s="327"/>
      <c r="Z46" s="327"/>
      <c r="AA46" s="655"/>
      <c r="AB46" s="766"/>
      <c r="AC46" s="766"/>
      <c r="AD46" s="766"/>
      <c r="AE46" s="630"/>
    </row>
    <row r="47" spans="1:31" s="73" customFormat="1">
      <c r="A47" s="244"/>
      <c r="B47" s="245"/>
      <c r="C47" s="246"/>
      <c r="D47" s="247"/>
      <c r="E47" s="247"/>
      <c r="F47" s="247"/>
      <c r="G47" s="247"/>
      <c r="H47" s="247"/>
      <c r="I47" s="246"/>
      <c r="J47" s="246"/>
      <c r="K47" s="247"/>
      <c r="L47" s="247"/>
      <c r="M47" s="247"/>
      <c r="N47" s="246"/>
      <c r="O47" s="328"/>
      <c r="P47" s="247"/>
      <c r="Q47" s="246"/>
      <c r="R47" s="246"/>
      <c r="S47" s="246"/>
      <c r="T47" s="326"/>
      <c r="U47" s="326"/>
      <c r="V47" s="326"/>
      <c r="W47" s="326"/>
      <c r="X47" s="326"/>
      <c r="Y47" s="326"/>
      <c r="Z47" s="326"/>
      <c r="AA47" s="656"/>
      <c r="AB47" s="765"/>
      <c r="AC47" s="765"/>
      <c r="AD47" s="765"/>
      <c r="AE47" s="630"/>
    </row>
    <row r="48" spans="1:31" s="73" customFormat="1">
      <c r="A48" s="244"/>
      <c r="B48" s="245"/>
      <c r="C48" s="246"/>
      <c r="D48" s="247"/>
      <c r="E48" s="247"/>
      <c r="F48" s="247"/>
      <c r="G48" s="247"/>
      <c r="H48" s="247"/>
      <c r="I48" s="246"/>
      <c r="J48" s="246"/>
      <c r="K48" s="247"/>
      <c r="L48" s="247"/>
      <c r="M48" s="247"/>
      <c r="N48" s="246"/>
      <c r="O48" s="328"/>
      <c r="P48" s="247"/>
      <c r="Q48" s="246"/>
      <c r="R48" s="246"/>
      <c r="S48" s="246"/>
      <c r="T48" s="326"/>
      <c r="U48" s="326"/>
      <c r="V48" s="326"/>
      <c r="W48" s="326"/>
      <c r="X48" s="326"/>
      <c r="Y48" s="326"/>
      <c r="Z48" s="326"/>
      <c r="AA48" s="656"/>
      <c r="AB48" s="765"/>
      <c r="AC48" s="765"/>
      <c r="AD48" s="765"/>
      <c r="AE48" s="630"/>
    </row>
    <row r="49" spans="1:31" s="73" customFormat="1">
      <c r="A49" s="244"/>
      <c r="B49" s="248"/>
      <c r="C49" s="256"/>
      <c r="D49" s="663"/>
      <c r="E49" s="257"/>
      <c r="F49" s="257"/>
      <c r="G49" s="257"/>
      <c r="H49" s="257"/>
      <c r="I49" s="256"/>
      <c r="J49" s="256"/>
      <c r="K49" s="257"/>
      <c r="L49" s="257"/>
      <c r="M49" s="257"/>
      <c r="N49" s="256"/>
      <c r="O49" s="652"/>
      <c r="P49" s="257"/>
      <c r="Q49" s="256"/>
      <c r="R49" s="256"/>
      <c r="S49" s="256"/>
      <c r="T49" s="327"/>
      <c r="U49" s="327"/>
      <c r="V49" s="327"/>
      <c r="W49" s="327"/>
      <c r="X49" s="327"/>
      <c r="Y49" s="327"/>
      <c r="Z49" s="327"/>
      <c r="AA49" s="655"/>
      <c r="AB49" s="766"/>
      <c r="AC49" s="766"/>
      <c r="AD49" s="766"/>
      <c r="AE49" s="630"/>
    </row>
    <row r="50" spans="1:31" s="73" customFormat="1">
      <c r="A50" s="244"/>
      <c r="B50" s="245"/>
      <c r="C50" s="246"/>
      <c r="D50" s="247"/>
      <c r="E50" s="247"/>
      <c r="F50" s="247"/>
      <c r="G50" s="247"/>
      <c r="H50" s="247"/>
      <c r="I50" s="246"/>
      <c r="J50" s="246"/>
      <c r="K50" s="247"/>
      <c r="L50" s="247"/>
      <c r="M50" s="247"/>
      <c r="N50" s="246"/>
      <c r="O50" s="328"/>
      <c r="P50" s="247"/>
      <c r="Q50" s="246"/>
      <c r="R50" s="246"/>
      <c r="S50" s="246"/>
      <c r="T50" s="326"/>
      <c r="U50" s="326"/>
      <c r="V50" s="326"/>
      <c r="W50" s="326"/>
      <c r="X50" s="326"/>
      <c r="Y50" s="326"/>
      <c r="Z50" s="326"/>
      <c r="AA50" s="656"/>
      <c r="AB50" s="765"/>
      <c r="AC50" s="765"/>
      <c r="AD50" s="765"/>
      <c r="AE50" s="630"/>
    </row>
    <row r="51" spans="1:31" s="73" customFormat="1">
      <c r="A51" s="244"/>
      <c r="B51" s="245"/>
      <c r="C51" s="246"/>
      <c r="D51" s="247"/>
      <c r="E51" s="247"/>
      <c r="F51" s="247"/>
      <c r="G51" s="247"/>
      <c r="H51" s="247"/>
      <c r="I51" s="246"/>
      <c r="J51" s="246"/>
      <c r="K51" s="247"/>
      <c r="L51" s="247"/>
      <c r="M51" s="247"/>
      <c r="N51" s="246"/>
      <c r="O51" s="328"/>
      <c r="P51" s="247"/>
      <c r="Q51" s="246"/>
      <c r="R51" s="246"/>
      <c r="S51" s="246"/>
      <c r="T51" s="326"/>
      <c r="U51" s="326"/>
      <c r="V51" s="326"/>
      <c r="W51" s="326"/>
      <c r="X51" s="326"/>
      <c r="Y51" s="326"/>
      <c r="Z51" s="326"/>
      <c r="AA51" s="656"/>
      <c r="AB51" s="765"/>
      <c r="AC51" s="765"/>
      <c r="AD51" s="765"/>
      <c r="AE51" s="630"/>
    </row>
    <row r="52" spans="1:31" s="73" customFormat="1">
      <c r="A52" s="249"/>
      <c r="B52" s="325"/>
      <c r="C52" s="256"/>
      <c r="D52" s="257"/>
      <c r="E52" s="257"/>
      <c r="F52" s="257"/>
      <c r="G52" s="257"/>
      <c r="H52" s="257"/>
      <c r="I52" s="256"/>
      <c r="J52" s="256"/>
      <c r="K52" s="257"/>
      <c r="L52" s="257"/>
      <c r="M52" s="257"/>
      <c r="N52" s="256"/>
      <c r="O52" s="652"/>
      <c r="P52" s="257"/>
      <c r="Q52" s="256"/>
      <c r="R52" s="256"/>
      <c r="S52" s="256"/>
      <c r="T52" s="327"/>
      <c r="U52" s="327"/>
      <c r="V52" s="327"/>
      <c r="W52" s="327"/>
      <c r="X52" s="327"/>
      <c r="Y52" s="327"/>
      <c r="Z52" s="327"/>
      <c r="AA52" s="655"/>
      <c r="AB52" s="766"/>
      <c r="AC52" s="766"/>
      <c r="AD52" s="766"/>
      <c r="AE52" s="630"/>
    </row>
    <row r="53" spans="1:31" s="73" customFormat="1">
      <c r="A53" s="638"/>
      <c r="B53" s="636"/>
      <c r="C53" s="633"/>
      <c r="D53" s="637"/>
      <c r="E53" s="637"/>
      <c r="F53" s="637"/>
      <c r="G53" s="637"/>
      <c r="H53" s="637"/>
      <c r="I53" s="633"/>
      <c r="J53" s="633"/>
      <c r="K53" s="637"/>
      <c r="L53" s="637"/>
      <c r="M53" s="637"/>
      <c r="N53" s="633"/>
      <c r="O53" s="633"/>
      <c r="P53" s="637"/>
      <c r="Q53" s="633"/>
      <c r="R53" s="633"/>
      <c r="S53" s="633"/>
      <c r="T53" s="645"/>
      <c r="U53" s="645"/>
      <c r="V53" s="645"/>
      <c r="W53" s="645"/>
      <c r="X53" s="645"/>
      <c r="Y53" s="645"/>
      <c r="Z53" s="645"/>
      <c r="AA53" s="653"/>
      <c r="AB53" s="765"/>
      <c r="AC53" s="765"/>
      <c r="AD53" s="765"/>
      <c r="AE53" s="630"/>
    </row>
    <row r="54" spans="1:31" s="73" customFormat="1">
      <c r="A54" s="244"/>
      <c r="B54" s="245"/>
      <c r="C54" s="246"/>
      <c r="D54" s="247"/>
      <c r="E54" s="247"/>
      <c r="F54" s="247"/>
      <c r="G54" s="247"/>
      <c r="H54" s="247"/>
      <c r="I54" s="246"/>
      <c r="J54" s="246"/>
      <c r="K54" s="247"/>
      <c r="L54" s="247"/>
      <c r="M54" s="247"/>
      <c r="N54" s="246"/>
      <c r="O54" s="246"/>
      <c r="P54" s="247"/>
      <c r="Q54" s="246"/>
      <c r="R54" s="246"/>
      <c r="S54" s="246"/>
      <c r="T54" s="326"/>
      <c r="U54" s="326"/>
      <c r="V54" s="326"/>
      <c r="W54" s="326"/>
      <c r="X54" s="326"/>
      <c r="Y54" s="326"/>
      <c r="Z54" s="326"/>
      <c r="AA54" s="654"/>
      <c r="AB54" s="765"/>
      <c r="AC54" s="765"/>
      <c r="AD54" s="765"/>
      <c r="AE54" s="630"/>
    </row>
    <row r="55" spans="1:31" s="73" customFormat="1">
      <c r="A55" s="244"/>
      <c r="B55" s="248"/>
      <c r="C55" s="256"/>
      <c r="D55" s="257"/>
      <c r="E55" s="257"/>
      <c r="F55" s="257"/>
      <c r="G55" s="257"/>
      <c r="H55" s="663"/>
      <c r="I55" s="256"/>
      <c r="J55" s="665"/>
      <c r="K55" s="257"/>
      <c r="L55" s="257"/>
      <c r="M55" s="257"/>
      <c r="N55" s="256"/>
      <c r="O55" s="652"/>
      <c r="P55" s="257"/>
      <c r="Q55" s="256"/>
      <c r="R55" s="256"/>
      <c r="S55" s="256"/>
      <c r="T55" s="327"/>
      <c r="U55" s="327"/>
      <c r="V55" s="327"/>
      <c r="W55" s="327"/>
      <c r="X55" s="327"/>
      <c r="Y55" s="327"/>
      <c r="Z55" s="327"/>
      <c r="AA55" s="655"/>
      <c r="AB55" s="766"/>
      <c r="AC55" s="766"/>
      <c r="AD55" s="766"/>
      <c r="AE55" s="630"/>
    </row>
    <row r="56" spans="1:31" s="73" customFormat="1">
      <c r="A56" s="244"/>
      <c r="B56" s="245"/>
      <c r="C56" s="246"/>
      <c r="D56" s="247"/>
      <c r="E56" s="247"/>
      <c r="F56" s="247"/>
      <c r="G56" s="247"/>
      <c r="H56" s="247"/>
      <c r="I56" s="246"/>
      <c r="J56" s="246"/>
      <c r="K56" s="247"/>
      <c r="L56" s="247"/>
      <c r="M56" s="247"/>
      <c r="N56" s="246"/>
      <c r="O56" s="328"/>
      <c r="P56" s="247"/>
      <c r="Q56" s="246"/>
      <c r="R56" s="246"/>
      <c r="S56" s="246"/>
      <c r="T56" s="326"/>
      <c r="U56" s="326"/>
      <c r="V56" s="326"/>
      <c r="W56" s="326"/>
      <c r="X56" s="326"/>
      <c r="Y56" s="326"/>
      <c r="Z56" s="326"/>
      <c r="AA56" s="656"/>
      <c r="AB56" s="765"/>
      <c r="AC56" s="765"/>
      <c r="AD56" s="765"/>
      <c r="AE56" s="630"/>
    </row>
    <row r="57" spans="1:31" s="73" customFormat="1">
      <c r="A57" s="244"/>
      <c r="B57" s="245"/>
      <c r="C57" s="246"/>
      <c r="D57" s="247"/>
      <c r="E57" s="247"/>
      <c r="F57" s="247"/>
      <c r="G57" s="247"/>
      <c r="H57" s="247"/>
      <c r="I57" s="246"/>
      <c r="J57" s="246"/>
      <c r="K57" s="247"/>
      <c r="L57" s="247"/>
      <c r="M57" s="247"/>
      <c r="N57" s="246"/>
      <c r="O57" s="328"/>
      <c r="P57" s="247"/>
      <c r="Q57" s="246"/>
      <c r="R57" s="246"/>
      <c r="S57" s="246"/>
      <c r="T57" s="326"/>
      <c r="U57" s="326"/>
      <c r="V57" s="326"/>
      <c r="W57" s="326"/>
      <c r="X57" s="326"/>
      <c r="Y57" s="326"/>
      <c r="Z57" s="326"/>
      <c r="AA57" s="656"/>
      <c r="AB57" s="765"/>
      <c r="AC57" s="765"/>
      <c r="AD57" s="765"/>
      <c r="AE57" s="630"/>
    </row>
    <row r="58" spans="1:31" s="73" customFormat="1">
      <c r="A58" s="244"/>
      <c r="B58" s="248"/>
      <c r="C58" s="256"/>
      <c r="D58" s="257"/>
      <c r="E58" s="257"/>
      <c r="F58" s="257"/>
      <c r="G58" s="257"/>
      <c r="H58" s="257"/>
      <c r="I58" s="256"/>
      <c r="J58" s="256"/>
      <c r="K58" s="257"/>
      <c r="L58" s="257"/>
      <c r="M58" s="257"/>
      <c r="N58" s="256"/>
      <c r="O58" s="652"/>
      <c r="P58" s="257"/>
      <c r="Q58" s="256"/>
      <c r="R58" s="256"/>
      <c r="S58" s="256"/>
      <c r="T58" s="327"/>
      <c r="U58" s="327"/>
      <c r="V58" s="327"/>
      <c r="W58" s="327"/>
      <c r="X58" s="327"/>
      <c r="Y58" s="327"/>
      <c r="Z58" s="327"/>
      <c r="AA58" s="655"/>
      <c r="AB58" s="766"/>
      <c r="AC58" s="766"/>
      <c r="AD58" s="766"/>
      <c r="AE58" s="630"/>
    </row>
    <row r="59" spans="1:31" s="73" customFormat="1">
      <c r="A59" s="244"/>
      <c r="B59" s="245"/>
      <c r="C59" s="246"/>
      <c r="D59" s="247"/>
      <c r="E59" s="247"/>
      <c r="F59" s="247"/>
      <c r="G59" s="247"/>
      <c r="H59" s="247"/>
      <c r="I59" s="246"/>
      <c r="J59" s="246"/>
      <c r="K59" s="247"/>
      <c r="L59" s="247"/>
      <c r="M59" s="247"/>
      <c r="N59" s="246"/>
      <c r="O59" s="328"/>
      <c r="P59" s="247"/>
      <c r="Q59" s="246"/>
      <c r="R59" s="246"/>
      <c r="S59" s="246"/>
      <c r="T59" s="326"/>
      <c r="U59" s="326"/>
      <c r="V59" s="326"/>
      <c r="W59" s="326"/>
      <c r="X59" s="326"/>
      <c r="Y59" s="326"/>
      <c r="Z59" s="326"/>
      <c r="AA59" s="656"/>
      <c r="AB59" s="765"/>
      <c r="AC59" s="765"/>
      <c r="AD59" s="765"/>
      <c r="AE59" s="630"/>
    </row>
    <row r="60" spans="1:31" s="73" customFormat="1">
      <c r="A60" s="244"/>
      <c r="B60" s="245"/>
      <c r="C60" s="246"/>
      <c r="D60" s="247"/>
      <c r="E60" s="247"/>
      <c r="F60" s="247"/>
      <c r="G60" s="247"/>
      <c r="H60" s="247"/>
      <c r="I60" s="246"/>
      <c r="J60" s="246"/>
      <c r="K60" s="247"/>
      <c r="L60" s="247"/>
      <c r="M60" s="247"/>
      <c r="N60" s="246"/>
      <c r="O60" s="328"/>
      <c r="P60" s="247"/>
      <c r="Q60" s="246"/>
      <c r="R60" s="246"/>
      <c r="S60" s="246"/>
      <c r="T60" s="326"/>
      <c r="U60" s="326"/>
      <c r="V60" s="326"/>
      <c r="W60" s="326"/>
      <c r="X60" s="326"/>
      <c r="Y60" s="326"/>
      <c r="Z60" s="326"/>
      <c r="AA60" s="656"/>
      <c r="AB60" s="765"/>
      <c r="AC60" s="765"/>
      <c r="AD60" s="765"/>
      <c r="AE60" s="630"/>
    </row>
    <row r="61" spans="1:31" s="73" customFormat="1">
      <c r="A61" s="244"/>
      <c r="B61" s="248"/>
      <c r="C61" s="256"/>
      <c r="D61" s="257"/>
      <c r="E61" s="257"/>
      <c r="F61" s="663"/>
      <c r="G61" s="257"/>
      <c r="H61" s="257"/>
      <c r="I61" s="256"/>
      <c r="J61" s="256"/>
      <c r="K61" s="257"/>
      <c r="L61" s="257"/>
      <c r="M61" s="257"/>
      <c r="N61" s="256"/>
      <c r="O61" s="652"/>
      <c r="P61" s="257"/>
      <c r="Q61" s="256"/>
      <c r="R61" s="256"/>
      <c r="S61" s="256"/>
      <c r="T61" s="327"/>
      <c r="U61" s="327"/>
      <c r="V61" s="327"/>
      <c r="W61" s="327"/>
      <c r="X61" s="327"/>
      <c r="Y61" s="327"/>
      <c r="Z61" s="327"/>
      <c r="AA61" s="655"/>
      <c r="AB61" s="766"/>
      <c r="AC61" s="766"/>
      <c r="AD61" s="766"/>
      <c r="AE61" s="630"/>
    </row>
    <row r="62" spans="1:31" s="73" customFormat="1">
      <c r="A62" s="244"/>
      <c r="B62" s="245"/>
      <c r="C62" s="246"/>
      <c r="D62" s="247"/>
      <c r="E62" s="247"/>
      <c r="F62" s="247"/>
      <c r="G62" s="247"/>
      <c r="H62" s="247"/>
      <c r="I62" s="246"/>
      <c r="J62" s="246"/>
      <c r="K62" s="247"/>
      <c r="L62" s="247"/>
      <c r="M62" s="247"/>
      <c r="N62" s="246"/>
      <c r="O62" s="328"/>
      <c r="P62" s="247"/>
      <c r="Q62" s="246"/>
      <c r="R62" s="246"/>
      <c r="S62" s="246"/>
      <c r="T62" s="326"/>
      <c r="U62" s="326"/>
      <c r="V62" s="326"/>
      <c r="W62" s="326"/>
      <c r="X62" s="326"/>
      <c r="Y62" s="326"/>
      <c r="Z62" s="326"/>
      <c r="AA62" s="656"/>
      <c r="AB62" s="765"/>
      <c r="AC62" s="765"/>
      <c r="AD62" s="765"/>
      <c r="AE62" s="630"/>
    </row>
    <row r="63" spans="1:31" s="73" customFormat="1">
      <c r="A63" s="244"/>
      <c r="B63" s="245"/>
      <c r="C63" s="246"/>
      <c r="D63" s="247"/>
      <c r="E63" s="247"/>
      <c r="F63" s="247"/>
      <c r="G63" s="247"/>
      <c r="H63" s="247"/>
      <c r="I63" s="246"/>
      <c r="J63" s="246"/>
      <c r="K63" s="247"/>
      <c r="L63" s="247"/>
      <c r="M63" s="247"/>
      <c r="N63" s="246"/>
      <c r="O63" s="328"/>
      <c r="P63" s="247"/>
      <c r="Q63" s="246"/>
      <c r="R63" s="246"/>
      <c r="S63" s="246"/>
      <c r="T63" s="326"/>
      <c r="U63" s="326"/>
      <c r="V63" s="326"/>
      <c r="W63" s="326"/>
      <c r="X63" s="326"/>
      <c r="Y63" s="326"/>
      <c r="Z63" s="326"/>
      <c r="AA63" s="656"/>
      <c r="AB63" s="765"/>
      <c r="AC63" s="765"/>
      <c r="AD63" s="765"/>
      <c r="AE63" s="630"/>
    </row>
    <row r="64" spans="1:31" s="73" customFormat="1">
      <c r="A64" s="249"/>
      <c r="B64" s="325"/>
      <c r="C64" s="256"/>
      <c r="D64" s="257"/>
      <c r="E64" s="257"/>
      <c r="F64" s="257"/>
      <c r="G64" s="257"/>
      <c r="H64" s="257"/>
      <c r="I64" s="256"/>
      <c r="J64" s="256"/>
      <c r="K64" s="257"/>
      <c r="L64" s="257"/>
      <c r="M64" s="257"/>
      <c r="N64" s="256"/>
      <c r="O64" s="652"/>
      <c r="P64" s="257"/>
      <c r="Q64" s="256"/>
      <c r="R64" s="256"/>
      <c r="S64" s="256"/>
      <c r="T64" s="327"/>
      <c r="U64" s="327"/>
      <c r="V64" s="327"/>
      <c r="W64" s="327"/>
      <c r="X64" s="327"/>
      <c r="Y64" s="327"/>
      <c r="Z64" s="327"/>
      <c r="AA64" s="655"/>
      <c r="AB64" s="766"/>
      <c r="AC64" s="766"/>
      <c r="AD64" s="766"/>
      <c r="AE64" s="630"/>
    </row>
    <row r="65" spans="1:31" s="73" customFormat="1">
      <c r="A65" s="638"/>
      <c r="B65" s="636"/>
      <c r="C65" s="633"/>
      <c r="D65" s="637"/>
      <c r="E65" s="637"/>
      <c r="F65" s="637"/>
      <c r="G65" s="637"/>
      <c r="H65" s="637"/>
      <c r="I65" s="633"/>
      <c r="J65" s="633"/>
      <c r="K65" s="637"/>
      <c r="L65" s="637"/>
      <c r="M65" s="637"/>
      <c r="N65" s="633"/>
      <c r="O65" s="633"/>
      <c r="P65" s="637"/>
      <c r="Q65" s="633"/>
      <c r="R65" s="633"/>
      <c r="S65" s="633"/>
      <c r="T65" s="645"/>
      <c r="U65" s="645"/>
      <c r="V65" s="645"/>
      <c r="W65" s="645"/>
      <c r="X65" s="645"/>
      <c r="Y65" s="645"/>
      <c r="Z65" s="645"/>
      <c r="AA65" s="653"/>
      <c r="AB65" s="765"/>
      <c r="AC65" s="765"/>
      <c r="AD65" s="765"/>
      <c r="AE65" s="630"/>
    </row>
    <row r="66" spans="1:31" s="73" customFormat="1">
      <c r="A66" s="244"/>
      <c r="B66" s="245"/>
      <c r="C66" s="246"/>
      <c r="D66" s="247"/>
      <c r="E66" s="247"/>
      <c r="F66" s="247"/>
      <c r="G66" s="247"/>
      <c r="H66" s="247"/>
      <c r="I66" s="246"/>
      <c r="J66" s="246"/>
      <c r="K66" s="247"/>
      <c r="L66" s="247"/>
      <c r="M66" s="247"/>
      <c r="N66" s="246"/>
      <c r="O66" s="246"/>
      <c r="P66" s="247"/>
      <c r="Q66" s="246"/>
      <c r="R66" s="246"/>
      <c r="S66" s="246"/>
      <c r="T66" s="326"/>
      <c r="U66" s="326"/>
      <c r="V66" s="326"/>
      <c r="W66" s="326"/>
      <c r="X66" s="326"/>
      <c r="Y66" s="326"/>
      <c r="Z66" s="326"/>
      <c r="AA66" s="654"/>
      <c r="AB66" s="765"/>
      <c r="AC66" s="765"/>
      <c r="AD66" s="765"/>
      <c r="AE66" s="630"/>
    </row>
    <row r="67" spans="1:31" s="73" customFormat="1">
      <c r="A67" s="244"/>
      <c r="B67" s="248"/>
      <c r="C67" s="256"/>
      <c r="D67" s="257"/>
      <c r="E67" s="257"/>
      <c r="F67" s="257"/>
      <c r="G67" s="257"/>
      <c r="H67" s="257"/>
      <c r="I67" s="256"/>
      <c r="J67" s="256"/>
      <c r="K67" s="257"/>
      <c r="L67" s="257"/>
      <c r="M67" s="257"/>
      <c r="N67" s="256"/>
      <c r="O67" s="652"/>
      <c r="P67" s="257"/>
      <c r="Q67" s="256"/>
      <c r="R67" s="256"/>
      <c r="S67" s="256"/>
      <c r="T67" s="327"/>
      <c r="U67" s="327"/>
      <c r="V67" s="327"/>
      <c r="W67" s="327"/>
      <c r="X67" s="327"/>
      <c r="Y67" s="327"/>
      <c r="Z67" s="327"/>
      <c r="AA67" s="655"/>
      <c r="AB67" s="766"/>
      <c r="AC67" s="766"/>
      <c r="AD67" s="766"/>
      <c r="AE67" s="630"/>
    </row>
    <row r="68" spans="1:31" s="73" customFormat="1">
      <c r="A68" s="244"/>
      <c r="B68" s="245"/>
      <c r="C68" s="246"/>
      <c r="D68" s="247"/>
      <c r="E68" s="247"/>
      <c r="F68" s="247"/>
      <c r="G68" s="247"/>
      <c r="H68" s="247"/>
      <c r="I68" s="246"/>
      <c r="J68" s="246"/>
      <c r="K68" s="247"/>
      <c r="L68" s="247"/>
      <c r="M68" s="247"/>
      <c r="N68" s="246"/>
      <c r="O68" s="328"/>
      <c r="P68" s="247"/>
      <c r="Q68" s="246"/>
      <c r="R68" s="246"/>
      <c r="S68" s="246"/>
      <c r="T68" s="326"/>
      <c r="U68" s="326"/>
      <c r="V68" s="326"/>
      <c r="W68" s="326"/>
      <c r="X68" s="326"/>
      <c r="Y68" s="326"/>
      <c r="Z68" s="326"/>
      <c r="AA68" s="656"/>
      <c r="AB68" s="765"/>
      <c r="AC68" s="765"/>
      <c r="AD68" s="765"/>
      <c r="AE68" s="630"/>
    </row>
    <row r="69" spans="1:31" s="73" customFormat="1">
      <c r="A69" s="244"/>
      <c r="B69" s="245"/>
      <c r="C69" s="246"/>
      <c r="D69" s="247"/>
      <c r="E69" s="247"/>
      <c r="F69" s="247"/>
      <c r="G69" s="247"/>
      <c r="H69" s="247"/>
      <c r="I69" s="246"/>
      <c r="J69" s="246"/>
      <c r="K69" s="247"/>
      <c r="L69" s="247"/>
      <c r="M69" s="247"/>
      <c r="N69" s="246"/>
      <c r="O69" s="328"/>
      <c r="P69" s="247"/>
      <c r="Q69" s="246"/>
      <c r="R69" s="246"/>
      <c r="S69" s="246"/>
      <c r="T69" s="326"/>
      <c r="U69" s="326"/>
      <c r="V69" s="326"/>
      <c r="W69" s="326"/>
      <c r="X69" s="326"/>
      <c r="Y69" s="326"/>
      <c r="Z69" s="326"/>
      <c r="AA69" s="656"/>
      <c r="AB69" s="765"/>
      <c r="AC69" s="765"/>
      <c r="AD69" s="765"/>
      <c r="AE69" s="630"/>
    </row>
    <row r="70" spans="1:31" s="73" customFormat="1">
      <c r="A70" s="244"/>
      <c r="B70" s="248"/>
      <c r="C70" s="256"/>
      <c r="D70" s="257"/>
      <c r="E70" s="257"/>
      <c r="F70" s="257"/>
      <c r="G70" s="257"/>
      <c r="H70" s="257"/>
      <c r="I70" s="256"/>
      <c r="J70" s="256"/>
      <c r="K70" s="257"/>
      <c r="L70" s="257"/>
      <c r="M70" s="257"/>
      <c r="N70" s="256"/>
      <c r="O70" s="652"/>
      <c r="P70" s="257"/>
      <c r="Q70" s="256"/>
      <c r="R70" s="256"/>
      <c r="S70" s="256"/>
      <c r="T70" s="327"/>
      <c r="U70" s="327"/>
      <c r="V70" s="327"/>
      <c r="W70" s="327"/>
      <c r="X70" s="327"/>
      <c r="Y70" s="327"/>
      <c r="Z70" s="327"/>
      <c r="AA70" s="655"/>
      <c r="AB70" s="766"/>
      <c r="AC70" s="766"/>
      <c r="AD70" s="766"/>
      <c r="AE70" s="630"/>
    </row>
    <row r="71" spans="1:31" s="73" customFormat="1">
      <c r="A71" s="244"/>
      <c r="B71" s="245"/>
      <c r="C71" s="246"/>
      <c r="D71" s="247"/>
      <c r="E71" s="247"/>
      <c r="F71" s="247"/>
      <c r="G71" s="247"/>
      <c r="H71" s="247"/>
      <c r="I71" s="246"/>
      <c r="J71" s="246"/>
      <c r="K71" s="247"/>
      <c r="L71" s="247"/>
      <c r="M71" s="247"/>
      <c r="N71" s="246"/>
      <c r="O71" s="328"/>
      <c r="P71" s="247"/>
      <c r="Q71" s="246"/>
      <c r="R71" s="246"/>
      <c r="S71" s="246"/>
      <c r="T71" s="326"/>
      <c r="U71" s="326"/>
      <c r="V71" s="326"/>
      <c r="W71" s="326"/>
      <c r="X71" s="326"/>
      <c r="Y71" s="326"/>
      <c r="Z71" s="326"/>
      <c r="AA71" s="656"/>
      <c r="AB71" s="765"/>
      <c r="AC71" s="765"/>
      <c r="AD71" s="765"/>
      <c r="AE71" s="630"/>
    </row>
    <row r="72" spans="1:31" s="73" customFormat="1">
      <c r="A72" s="244"/>
      <c r="B72" s="245"/>
      <c r="C72" s="246"/>
      <c r="D72" s="247"/>
      <c r="E72" s="247"/>
      <c r="F72" s="247"/>
      <c r="G72" s="247"/>
      <c r="H72" s="247"/>
      <c r="I72" s="246"/>
      <c r="J72" s="246"/>
      <c r="K72" s="247"/>
      <c r="L72" s="247"/>
      <c r="M72" s="247"/>
      <c r="N72" s="246"/>
      <c r="O72" s="328"/>
      <c r="P72" s="247"/>
      <c r="Q72" s="246"/>
      <c r="R72" s="246"/>
      <c r="S72" s="246"/>
      <c r="T72" s="326"/>
      <c r="U72" s="326"/>
      <c r="V72" s="326"/>
      <c r="W72" s="326"/>
      <c r="X72" s="326"/>
      <c r="Y72" s="326"/>
      <c r="Z72" s="326"/>
      <c r="AA72" s="656"/>
      <c r="AB72" s="765"/>
      <c r="AC72" s="765"/>
      <c r="AD72" s="765"/>
      <c r="AE72" s="630"/>
    </row>
    <row r="73" spans="1:31" s="73" customFormat="1">
      <c r="A73" s="244"/>
      <c r="B73" s="248"/>
      <c r="C73" s="256"/>
      <c r="D73" s="257"/>
      <c r="E73" s="663"/>
      <c r="F73" s="257"/>
      <c r="G73" s="257"/>
      <c r="H73" s="257"/>
      <c r="I73" s="256"/>
      <c r="J73" s="256"/>
      <c r="K73" s="257"/>
      <c r="L73" s="257"/>
      <c r="M73" s="257"/>
      <c r="N73" s="256"/>
      <c r="O73" s="652"/>
      <c r="P73" s="257"/>
      <c r="Q73" s="256"/>
      <c r="R73" s="256"/>
      <c r="S73" s="256"/>
      <c r="T73" s="327"/>
      <c r="U73" s="327"/>
      <c r="V73" s="327"/>
      <c r="W73" s="327"/>
      <c r="X73" s="327"/>
      <c r="Y73" s="327"/>
      <c r="Z73" s="327"/>
      <c r="AA73" s="655"/>
      <c r="AB73" s="766"/>
      <c r="AC73" s="766"/>
      <c r="AD73" s="766"/>
      <c r="AE73" s="630"/>
    </row>
    <row r="74" spans="1:31" s="73" customFormat="1">
      <c r="A74" s="244"/>
      <c r="B74" s="245"/>
      <c r="C74" s="246"/>
      <c r="D74" s="247"/>
      <c r="E74" s="247"/>
      <c r="F74" s="247"/>
      <c r="G74" s="247"/>
      <c r="H74" s="247"/>
      <c r="I74" s="246"/>
      <c r="J74" s="246"/>
      <c r="K74" s="247"/>
      <c r="L74" s="247"/>
      <c r="M74" s="247"/>
      <c r="N74" s="246"/>
      <c r="O74" s="328"/>
      <c r="P74" s="247"/>
      <c r="Q74" s="246"/>
      <c r="R74" s="246"/>
      <c r="S74" s="246"/>
      <c r="T74" s="326"/>
      <c r="U74" s="326"/>
      <c r="V74" s="326"/>
      <c r="W74" s="326"/>
      <c r="X74" s="326"/>
      <c r="Y74" s="326"/>
      <c r="Z74" s="326"/>
      <c r="AA74" s="656"/>
      <c r="AB74" s="765"/>
      <c r="AC74" s="765"/>
      <c r="AD74" s="765"/>
      <c r="AE74" s="630"/>
    </row>
    <row r="75" spans="1:31" s="73" customFormat="1">
      <c r="A75" s="244"/>
      <c r="B75" s="245"/>
      <c r="C75" s="246"/>
      <c r="D75" s="247"/>
      <c r="E75" s="247"/>
      <c r="F75" s="247"/>
      <c r="G75" s="247"/>
      <c r="H75" s="247"/>
      <c r="I75" s="246"/>
      <c r="J75" s="246"/>
      <c r="K75" s="247"/>
      <c r="L75" s="247"/>
      <c r="M75" s="247"/>
      <c r="N75" s="246"/>
      <c r="O75" s="328"/>
      <c r="P75" s="247"/>
      <c r="Q75" s="246"/>
      <c r="R75" s="246"/>
      <c r="S75" s="246"/>
      <c r="T75" s="326"/>
      <c r="U75" s="326"/>
      <c r="V75" s="326"/>
      <c r="W75" s="326"/>
      <c r="X75" s="326"/>
      <c r="Y75" s="326"/>
      <c r="Z75" s="326"/>
      <c r="AA75" s="656"/>
      <c r="AB75" s="765"/>
      <c r="AC75" s="765"/>
      <c r="AD75" s="765"/>
      <c r="AE75" s="630"/>
    </row>
    <row r="76" spans="1:31" s="73" customFormat="1">
      <c r="A76" s="249"/>
      <c r="B76" s="325"/>
      <c r="C76" s="256"/>
      <c r="D76" s="257"/>
      <c r="E76" s="257"/>
      <c r="F76" s="257"/>
      <c r="G76" s="257"/>
      <c r="H76" s="257"/>
      <c r="I76" s="256"/>
      <c r="J76" s="256"/>
      <c r="K76" s="257"/>
      <c r="L76" s="257"/>
      <c r="M76" s="257"/>
      <c r="N76" s="256"/>
      <c r="O76" s="652"/>
      <c r="P76" s="257"/>
      <c r="Q76" s="256"/>
      <c r="R76" s="256"/>
      <c r="S76" s="256"/>
      <c r="T76" s="327"/>
      <c r="U76" s="327"/>
      <c r="V76" s="327"/>
      <c r="W76" s="327"/>
      <c r="X76" s="327"/>
      <c r="Y76" s="327"/>
      <c r="Z76" s="327"/>
      <c r="AA76" s="655"/>
      <c r="AB76" s="766"/>
      <c r="AC76" s="766"/>
      <c r="AD76" s="766"/>
      <c r="AE76" s="630"/>
    </row>
    <row r="77" spans="1:31" s="73" customFormat="1">
      <c r="A77" s="638"/>
      <c r="B77" s="636"/>
      <c r="C77" s="633"/>
      <c r="D77" s="637"/>
      <c r="E77" s="637"/>
      <c r="F77" s="637"/>
      <c r="G77" s="637"/>
      <c r="H77" s="637"/>
      <c r="I77" s="633"/>
      <c r="J77" s="633"/>
      <c r="K77" s="637"/>
      <c r="L77" s="637"/>
      <c r="M77" s="637"/>
      <c r="N77" s="633"/>
      <c r="O77" s="633"/>
      <c r="P77" s="637"/>
      <c r="Q77" s="633"/>
      <c r="R77" s="633"/>
      <c r="S77" s="633"/>
      <c r="T77" s="645"/>
      <c r="U77" s="645"/>
      <c r="V77" s="645"/>
      <c r="W77" s="645"/>
      <c r="X77" s="645"/>
      <c r="Y77" s="645"/>
      <c r="Z77" s="645"/>
      <c r="AA77" s="653"/>
      <c r="AB77" s="765"/>
      <c r="AC77" s="765"/>
      <c r="AD77" s="765"/>
      <c r="AE77" s="630"/>
    </row>
    <row r="78" spans="1:31" s="73" customFormat="1">
      <c r="A78" s="244"/>
      <c r="B78" s="245"/>
      <c r="C78" s="246"/>
      <c r="D78" s="247"/>
      <c r="E78" s="247"/>
      <c r="F78" s="247"/>
      <c r="G78" s="247"/>
      <c r="H78" s="247"/>
      <c r="I78" s="246"/>
      <c r="J78" s="246"/>
      <c r="K78" s="247"/>
      <c r="L78" s="247"/>
      <c r="M78" s="247"/>
      <c r="N78" s="246"/>
      <c r="O78" s="246"/>
      <c r="P78" s="247"/>
      <c r="Q78" s="246"/>
      <c r="R78" s="246"/>
      <c r="S78" s="246"/>
      <c r="T78" s="326"/>
      <c r="U78" s="326"/>
      <c r="V78" s="326"/>
      <c r="W78" s="326"/>
      <c r="X78" s="326"/>
      <c r="Y78" s="326"/>
      <c r="Z78" s="326"/>
      <c r="AA78" s="654"/>
      <c r="AB78" s="765"/>
      <c r="AC78" s="765"/>
      <c r="AD78" s="765"/>
      <c r="AE78" s="630"/>
    </row>
    <row r="79" spans="1:31" s="73" customFormat="1">
      <c r="A79" s="244"/>
      <c r="B79" s="248"/>
      <c r="C79" s="256"/>
      <c r="D79" s="257"/>
      <c r="E79" s="663"/>
      <c r="F79" s="257"/>
      <c r="G79" s="257"/>
      <c r="H79" s="257"/>
      <c r="I79" s="256"/>
      <c r="J79" s="256"/>
      <c r="K79" s="663"/>
      <c r="L79" s="663"/>
      <c r="M79" s="663"/>
      <c r="N79" s="256"/>
      <c r="O79" s="664"/>
      <c r="P79" s="257"/>
      <c r="Q79" s="256"/>
      <c r="R79" s="256"/>
      <c r="S79" s="256"/>
      <c r="T79" s="327"/>
      <c r="U79" s="327"/>
      <c r="V79" s="327"/>
      <c r="W79" s="327"/>
      <c r="X79" s="327"/>
      <c r="Y79" s="327"/>
      <c r="Z79" s="327"/>
      <c r="AA79" s="655"/>
      <c r="AB79" s="766"/>
      <c r="AC79" s="766"/>
      <c r="AD79" s="766"/>
      <c r="AE79" s="630"/>
    </row>
    <row r="80" spans="1:31" s="73" customFormat="1">
      <c r="A80" s="244"/>
      <c r="B80" s="245"/>
      <c r="C80" s="246"/>
      <c r="D80" s="247"/>
      <c r="E80" s="247"/>
      <c r="F80" s="247"/>
      <c r="G80" s="247"/>
      <c r="H80" s="247"/>
      <c r="I80" s="246"/>
      <c r="J80" s="246"/>
      <c r="K80" s="247"/>
      <c r="L80" s="247"/>
      <c r="M80" s="247"/>
      <c r="N80" s="246"/>
      <c r="O80" s="328"/>
      <c r="P80" s="247"/>
      <c r="Q80" s="246"/>
      <c r="R80" s="246"/>
      <c r="S80" s="246"/>
      <c r="T80" s="326"/>
      <c r="U80" s="326"/>
      <c r="V80" s="326"/>
      <c r="W80" s="326"/>
      <c r="X80" s="326"/>
      <c r="Y80" s="326"/>
      <c r="Z80" s="326"/>
      <c r="AA80" s="656"/>
      <c r="AB80" s="765"/>
      <c r="AC80" s="765"/>
      <c r="AD80" s="765"/>
      <c r="AE80" s="630"/>
    </row>
    <row r="81" spans="1:31" s="73" customFormat="1">
      <c r="A81" s="244"/>
      <c r="B81" s="245"/>
      <c r="C81" s="246"/>
      <c r="D81" s="247"/>
      <c r="E81" s="247"/>
      <c r="F81" s="247"/>
      <c r="G81" s="247"/>
      <c r="H81" s="247"/>
      <c r="I81" s="246"/>
      <c r="J81" s="246"/>
      <c r="K81" s="247"/>
      <c r="L81" s="247"/>
      <c r="M81" s="247"/>
      <c r="N81" s="246"/>
      <c r="O81" s="328"/>
      <c r="P81" s="247"/>
      <c r="Q81" s="246"/>
      <c r="R81" s="246"/>
      <c r="S81" s="246"/>
      <c r="T81" s="326"/>
      <c r="U81" s="326"/>
      <c r="V81" s="326"/>
      <c r="W81" s="326"/>
      <c r="X81" s="326"/>
      <c r="Y81" s="326"/>
      <c r="Z81" s="326"/>
      <c r="AA81" s="656"/>
      <c r="AB81" s="765"/>
      <c r="AC81" s="765"/>
      <c r="AD81" s="765"/>
      <c r="AE81" s="630"/>
    </row>
    <row r="82" spans="1:31" s="73" customFormat="1">
      <c r="A82" s="244"/>
      <c r="B82" s="248"/>
      <c r="C82" s="256"/>
      <c r="D82" s="257"/>
      <c r="E82" s="257"/>
      <c r="F82" s="257"/>
      <c r="G82" s="257"/>
      <c r="H82" s="257"/>
      <c r="I82" s="256"/>
      <c r="J82" s="256"/>
      <c r="K82" s="257"/>
      <c r="L82" s="257"/>
      <c r="M82" s="257"/>
      <c r="N82" s="256"/>
      <c r="O82" s="652"/>
      <c r="P82" s="257"/>
      <c r="Q82" s="256"/>
      <c r="R82" s="256"/>
      <c r="S82" s="256"/>
      <c r="T82" s="327"/>
      <c r="U82" s="327"/>
      <c r="V82" s="327"/>
      <c r="W82" s="327"/>
      <c r="X82" s="327"/>
      <c r="Y82" s="327"/>
      <c r="Z82" s="327"/>
      <c r="AA82" s="655"/>
      <c r="AB82" s="766"/>
      <c r="AC82" s="766"/>
      <c r="AD82" s="766"/>
      <c r="AE82" s="630"/>
    </row>
    <row r="83" spans="1:31" s="73" customFormat="1">
      <c r="A83" s="244"/>
      <c r="B83" s="245"/>
      <c r="C83" s="246"/>
      <c r="D83" s="247"/>
      <c r="E83" s="247"/>
      <c r="F83" s="247"/>
      <c r="G83" s="247"/>
      <c r="H83" s="247"/>
      <c r="I83" s="246"/>
      <c r="J83" s="246"/>
      <c r="K83" s="247"/>
      <c r="L83" s="247"/>
      <c r="M83" s="247"/>
      <c r="N83" s="246"/>
      <c r="O83" s="328"/>
      <c r="P83" s="247"/>
      <c r="Q83" s="246"/>
      <c r="R83" s="246"/>
      <c r="S83" s="246"/>
      <c r="T83" s="326"/>
      <c r="U83" s="326"/>
      <c r="V83" s="326"/>
      <c r="W83" s="326"/>
      <c r="X83" s="326"/>
      <c r="Y83" s="326"/>
      <c r="Z83" s="326"/>
      <c r="AA83" s="656"/>
      <c r="AB83" s="765"/>
      <c r="AC83" s="765"/>
      <c r="AD83" s="765"/>
      <c r="AE83" s="630"/>
    </row>
    <row r="84" spans="1:31" s="73" customFormat="1">
      <c r="A84" s="244"/>
      <c r="B84" s="245"/>
      <c r="C84" s="246"/>
      <c r="D84" s="247"/>
      <c r="E84" s="247"/>
      <c r="F84" s="247"/>
      <c r="G84" s="247"/>
      <c r="H84" s="247"/>
      <c r="I84" s="246"/>
      <c r="J84" s="246"/>
      <c r="K84" s="247"/>
      <c r="L84" s="247"/>
      <c r="M84" s="247"/>
      <c r="N84" s="246"/>
      <c r="O84" s="328"/>
      <c r="P84" s="247"/>
      <c r="Q84" s="246"/>
      <c r="R84" s="246"/>
      <c r="S84" s="246"/>
      <c r="T84" s="326"/>
      <c r="U84" s="326"/>
      <c r="V84" s="326"/>
      <c r="W84" s="326"/>
      <c r="X84" s="326"/>
      <c r="Y84" s="326"/>
      <c r="Z84" s="326"/>
      <c r="AA84" s="656"/>
      <c r="AB84" s="765"/>
      <c r="AC84" s="765"/>
      <c r="AD84" s="765"/>
      <c r="AE84" s="630"/>
    </row>
    <row r="85" spans="1:31" s="73" customFormat="1">
      <c r="A85" s="244"/>
      <c r="B85" s="248"/>
      <c r="C85" s="256"/>
      <c r="D85" s="257"/>
      <c r="E85" s="257"/>
      <c r="F85" s="257"/>
      <c r="G85" s="257"/>
      <c r="H85" s="257"/>
      <c r="I85" s="256"/>
      <c r="J85" s="256"/>
      <c r="K85" s="257"/>
      <c r="L85" s="257"/>
      <c r="M85" s="257"/>
      <c r="N85" s="256"/>
      <c r="O85" s="652"/>
      <c r="P85" s="257"/>
      <c r="Q85" s="256"/>
      <c r="R85" s="256"/>
      <c r="S85" s="256"/>
      <c r="T85" s="327"/>
      <c r="U85" s="327"/>
      <c r="V85" s="327"/>
      <c r="W85" s="327"/>
      <c r="X85" s="327"/>
      <c r="Y85" s="327"/>
      <c r="Z85" s="327"/>
      <c r="AA85" s="655"/>
      <c r="AB85" s="766"/>
      <c r="AC85" s="766"/>
      <c r="AD85" s="766"/>
      <c r="AE85" s="630"/>
    </row>
    <row r="86" spans="1:31" s="73" customFormat="1">
      <c r="A86" s="244"/>
      <c r="B86" s="245"/>
      <c r="C86" s="246"/>
      <c r="D86" s="247"/>
      <c r="E86" s="247"/>
      <c r="F86" s="247"/>
      <c r="G86" s="247"/>
      <c r="H86" s="247"/>
      <c r="I86" s="246"/>
      <c r="J86" s="246"/>
      <c r="K86" s="247"/>
      <c r="L86" s="247"/>
      <c r="M86" s="247"/>
      <c r="N86" s="246"/>
      <c r="O86" s="328"/>
      <c r="P86" s="247"/>
      <c r="Q86" s="246"/>
      <c r="R86" s="246"/>
      <c r="S86" s="246"/>
      <c r="T86" s="326"/>
      <c r="U86" s="326"/>
      <c r="V86" s="326"/>
      <c r="W86" s="326"/>
      <c r="X86" s="326"/>
      <c r="Y86" s="326"/>
      <c r="Z86" s="326"/>
      <c r="AA86" s="656"/>
      <c r="AB86" s="765"/>
      <c r="AC86" s="765"/>
      <c r="AD86" s="765"/>
      <c r="AE86" s="630"/>
    </row>
    <row r="87" spans="1:31" s="73" customFormat="1">
      <c r="A87" s="244"/>
      <c r="B87" s="245"/>
      <c r="C87" s="246"/>
      <c r="D87" s="247"/>
      <c r="E87" s="247"/>
      <c r="F87" s="247"/>
      <c r="G87" s="247"/>
      <c r="H87" s="247"/>
      <c r="I87" s="246"/>
      <c r="J87" s="246"/>
      <c r="K87" s="247"/>
      <c r="L87" s="247"/>
      <c r="M87" s="247"/>
      <c r="N87" s="246"/>
      <c r="O87" s="328"/>
      <c r="P87" s="247"/>
      <c r="Q87" s="246"/>
      <c r="R87" s="246"/>
      <c r="S87" s="246"/>
      <c r="T87" s="326"/>
      <c r="U87" s="326"/>
      <c r="V87" s="326"/>
      <c r="W87" s="326"/>
      <c r="X87" s="326"/>
      <c r="Y87" s="326"/>
      <c r="Z87" s="326"/>
      <c r="AA87" s="656"/>
      <c r="AB87" s="765"/>
      <c r="AC87" s="765"/>
      <c r="AD87" s="765"/>
      <c r="AE87" s="630"/>
    </row>
    <row r="88" spans="1:31" s="73" customFormat="1">
      <c r="A88" s="249"/>
      <c r="B88" s="325"/>
      <c r="C88" s="256"/>
      <c r="D88" s="257"/>
      <c r="E88" s="257"/>
      <c r="F88" s="257"/>
      <c r="G88" s="257"/>
      <c r="H88" s="257"/>
      <c r="I88" s="256"/>
      <c r="J88" s="256"/>
      <c r="K88" s="257"/>
      <c r="L88" s="257"/>
      <c r="M88" s="257"/>
      <c r="N88" s="256"/>
      <c r="O88" s="652"/>
      <c r="P88" s="257"/>
      <c r="Q88" s="256"/>
      <c r="R88" s="256"/>
      <c r="S88" s="256"/>
      <c r="T88" s="327"/>
      <c r="U88" s="327"/>
      <c r="V88" s="327"/>
      <c r="W88" s="327"/>
      <c r="X88" s="327"/>
      <c r="Y88" s="327"/>
      <c r="Z88" s="327"/>
      <c r="AA88" s="655"/>
      <c r="AB88" s="766"/>
      <c r="AC88" s="766"/>
      <c r="AD88" s="766"/>
      <c r="AE88" s="630"/>
    </row>
    <row r="89" spans="1:31" s="73" customFormat="1">
      <c r="A89" s="638"/>
      <c r="B89" s="636"/>
      <c r="C89" s="633"/>
      <c r="D89" s="637"/>
      <c r="E89" s="637"/>
      <c r="F89" s="637"/>
      <c r="G89" s="637"/>
      <c r="H89" s="637"/>
      <c r="I89" s="633"/>
      <c r="J89" s="633"/>
      <c r="K89" s="637"/>
      <c r="L89" s="637"/>
      <c r="M89" s="637"/>
      <c r="N89" s="633"/>
      <c r="O89" s="633"/>
      <c r="P89" s="637"/>
      <c r="Q89" s="633"/>
      <c r="R89" s="633"/>
      <c r="S89" s="633"/>
      <c r="T89" s="645"/>
      <c r="U89" s="645"/>
      <c r="V89" s="645"/>
      <c r="W89" s="645"/>
      <c r="X89" s="645"/>
      <c r="Y89" s="645"/>
      <c r="Z89" s="645"/>
      <c r="AA89" s="653"/>
      <c r="AB89" s="765"/>
      <c r="AC89" s="765"/>
      <c r="AD89" s="765"/>
      <c r="AE89" s="630"/>
    </row>
    <row r="90" spans="1:31" s="73" customFormat="1">
      <c r="A90" s="244"/>
      <c r="B90" s="245"/>
      <c r="C90" s="246"/>
      <c r="D90" s="247"/>
      <c r="E90" s="247"/>
      <c r="F90" s="247"/>
      <c r="G90" s="247"/>
      <c r="H90" s="247"/>
      <c r="I90" s="246"/>
      <c r="J90" s="246"/>
      <c r="K90" s="247"/>
      <c r="L90" s="247"/>
      <c r="M90" s="247"/>
      <c r="N90" s="246"/>
      <c r="O90" s="246"/>
      <c r="P90" s="247"/>
      <c r="Q90" s="246"/>
      <c r="R90" s="246"/>
      <c r="S90" s="246"/>
      <c r="T90" s="326"/>
      <c r="U90" s="326"/>
      <c r="V90" s="326"/>
      <c r="W90" s="326"/>
      <c r="X90" s="326"/>
      <c r="Y90" s="326"/>
      <c r="Z90" s="326"/>
      <c r="AA90" s="654"/>
      <c r="AB90" s="765"/>
      <c r="AC90" s="765"/>
      <c r="AD90" s="765"/>
      <c r="AE90" s="630"/>
    </row>
    <row r="91" spans="1:31" s="73" customFormat="1">
      <c r="A91" s="244"/>
      <c r="B91" s="248"/>
      <c r="C91" s="256"/>
      <c r="D91" s="257"/>
      <c r="E91" s="257"/>
      <c r="F91" s="257"/>
      <c r="G91" s="257"/>
      <c r="H91" s="257"/>
      <c r="I91" s="256"/>
      <c r="J91" s="256"/>
      <c r="K91" s="257"/>
      <c r="L91" s="257"/>
      <c r="M91" s="257"/>
      <c r="N91" s="256"/>
      <c r="O91" s="652"/>
      <c r="P91" s="257"/>
      <c r="Q91" s="256"/>
      <c r="R91" s="256"/>
      <c r="S91" s="256"/>
      <c r="T91" s="327"/>
      <c r="U91" s="327"/>
      <c r="V91" s="327"/>
      <c r="W91" s="327"/>
      <c r="X91" s="327"/>
      <c r="Y91" s="327"/>
      <c r="Z91" s="327"/>
      <c r="AA91" s="655"/>
      <c r="AB91" s="766"/>
      <c r="AC91" s="766"/>
      <c r="AD91" s="766"/>
      <c r="AE91" s="630"/>
    </row>
    <row r="92" spans="1:31" s="73" customFormat="1">
      <c r="A92" s="244"/>
      <c r="B92" s="245"/>
      <c r="C92" s="246"/>
      <c r="D92" s="247"/>
      <c r="E92" s="247"/>
      <c r="F92" s="247"/>
      <c r="G92" s="247"/>
      <c r="H92" s="247"/>
      <c r="I92" s="246"/>
      <c r="J92" s="246"/>
      <c r="K92" s="247"/>
      <c r="L92" s="247"/>
      <c r="M92" s="247"/>
      <c r="N92" s="246"/>
      <c r="O92" s="328"/>
      <c r="P92" s="247"/>
      <c r="Q92" s="246"/>
      <c r="R92" s="246"/>
      <c r="S92" s="246"/>
      <c r="T92" s="326"/>
      <c r="U92" s="326"/>
      <c r="V92" s="326"/>
      <c r="W92" s="326"/>
      <c r="X92" s="326"/>
      <c r="Y92" s="326"/>
      <c r="Z92" s="326"/>
      <c r="AA92" s="656"/>
      <c r="AB92" s="765"/>
      <c r="AC92" s="765"/>
      <c r="AD92" s="765"/>
      <c r="AE92" s="630"/>
    </row>
    <row r="93" spans="1:31" s="73" customFormat="1">
      <c r="A93" s="244"/>
      <c r="B93" s="245"/>
      <c r="C93" s="246"/>
      <c r="D93" s="247"/>
      <c r="E93" s="247"/>
      <c r="F93" s="247"/>
      <c r="G93" s="247"/>
      <c r="H93" s="247"/>
      <c r="I93" s="246"/>
      <c r="J93" s="246"/>
      <c r="K93" s="247"/>
      <c r="L93" s="247"/>
      <c r="M93" s="247"/>
      <c r="N93" s="246"/>
      <c r="O93" s="328"/>
      <c r="P93" s="247"/>
      <c r="Q93" s="246"/>
      <c r="R93" s="246"/>
      <c r="S93" s="246"/>
      <c r="T93" s="326"/>
      <c r="U93" s="326"/>
      <c r="V93" s="326"/>
      <c r="W93" s="326"/>
      <c r="X93" s="326"/>
      <c r="Y93" s="326"/>
      <c r="Z93" s="326"/>
      <c r="AA93" s="656"/>
      <c r="AB93" s="765"/>
      <c r="AC93" s="765"/>
      <c r="AD93" s="765"/>
      <c r="AE93" s="630"/>
    </row>
    <row r="94" spans="1:31" s="73" customFormat="1">
      <c r="A94" s="244"/>
      <c r="B94" s="248"/>
      <c r="C94" s="256"/>
      <c r="D94" s="257"/>
      <c r="E94" s="257"/>
      <c r="F94" s="257"/>
      <c r="G94" s="257"/>
      <c r="H94" s="257"/>
      <c r="I94" s="256"/>
      <c r="J94" s="256"/>
      <c r="K94" s="257"/>
      <c r="L94" s="257"/>
      <c r="M94" s="257"/>
      <c r="N94" s="256"/>
      <c r="O94" s="652"/>
      <c r="P94" s="257"/>
      <c r="Q94" s="256"/>
      <c r="R94" s="256"/>
      <c r="S94" s="256"/>
      <c r="T94" s="327"/>
      <c r="U94" s="327"/>
      <c r="V94" s="327"/>
      <c r="W94" s="327"/>
      <c r="X94" s="327"/>
      <c r="Y94" s="327"/>
      <c r="Z94" s="327"/>
      <c r="AA94" s="655"/>
      <c r="AB94" s="766"/>
      <c r="AC94" s="766"/>
      <c r="AD94" s="766"/>
      <c r="AE94" s="630"/>
    </row>
    <row r="95" spans="1:31" s="73" customFormat="1">
      <c r="A95" s="244"/>
      <c r="B95" s="245"/>
      <c r="C95" s="246"/>
      <c r="D95" s="247"/>
      <c r="E95" s="247"/>
      <c r="F95" s="247"/>
      <c r="G95" s="247"/>
      <c r="H95" s="247"/>
      <c r="I95" s="246"/>
      <c r="J95" s="246"/>
      <c r="K95" s="247"/>
      <c r="L95" s="247"/>
      <c r="M95" s="247"/>
      <c r="N95" s="246"/>
      <c r="O95" s="328"/>
      <c r="P95" s="247"/>
      <c r="Q95" s="246"/>
      <c r="R95" s="246"/>
      <c r="S95" s="246"/>
      <c r="T95" s="326"/>
      <c r="U95" s="326"/>
      <c r="V95" s="326"/>
      <c r="W95" s="326"/>
      <c r="X95" s="326"/>
      <c r="Y95" s="326"/>
      <c r="Z95" s="326"/>
      <c r="AA95" s="656"/>
      <c r="AB95" s="765"/>
      <c r="AC95" s="765"/>
      <c r="AD95" s="765"/>
      <c r="AE95" s="630"/>
    </row>
    <row r="96" spans="1:31" s="73" customFormat="1">
      <c r="A96" s="244"/>
      <c r="B96" s="245"/>
      <c r="C96" s="246"/>
      <c r="D96" s="247"/>
      <c r="E96" s="247"/>
      <c r="F96" s="247"/>
      <c r="G96" s="247"/>
      <c r="H96" s="247"/>
      <c r="I96" s="246"/>
      <c r="J96" s="246"/>
      <c r="K96" s="247"/>
      <c r="L96" s="247"/>
      <c r="M96" s="247"/>
      <c r="N96" s="246"/>
      <c r="O96" s="328"/>
      <c r="P96" s="247"/>
      <c r="Q96" s="246"/>
      <c r="R96" s="246"/>
      <c r="S96" s="246"/>
      <c r="T96" s="326"/>
      <c r="U96" s="326"/>
      <c r="V96" s="326"/>
      <c r="W96" s="326"/>
      <c r="X96" s="326"/>
      <c r="Y96" s="326"/>
      <c r="Z96" s="326"/>
      <c r="AA96" s="656"/>
      <c r="AB96" s="765"/>
      <c r="AC96" s="765"/>
      <c r="AD96" s="765"/>
      <c r="AE96" s="630"/>
    </row>
    <row r="97" spans="1:31" s="73" customFormat="1">
      <c r="A97" s="244"/>
      <c r="B97" s="248"/>
      <c r="C97" s="256"/>
      <c r="D97" s="257"/>
      <c r="E97" s="257"/>
      <c r="F97" s="257"/>
      <c r="G97" s="257"/>
      <c r="H97" s="257"/>
      <c r="I97" s="256"/>
      <c r="J97" s="256"/>
      <c r="K97" s="257"/>
      <c r="L97" s="257"/>
      <c r="M97" s="257"/>
      <c r="N97" s="256"/>
      <c r="O97" s="652"/>
      <c r="P97" s="257"/>
      <c r="Q97" s="256"/>
      <c r="R97" s="256"/>
      <c r="S97" s="256"/>
      <c r="T97" s="327"/>
      <c r="U97" s="327"/>
      <c r="V97" s="327"/>
      <c r="W97" s="327"/>
      <c r="X97" s="327"/>
      <c r="Y97" s="327"/>
      <c r="Z97" s="327"/>
      <c r="AA97" s="655"/>
      <c r="AB97" s="766"/>
      <c r="AC97" s="766"/>
      <c r="AD97" s="766"/>
      <c r="AE97" s="630"/>
    </row>
    <row r="98" spans="1:31" s="73" customFormat="1">
      <c r="A98" s="244"/>
      <c r="B98" s="245"/>
      <c r="C98" s="246"/>
      <c r="D98" s="247"/>
      <c r="E98" s="247"/>
      <c r="F98" s="247"/>
      <c r="G98" s="247"/>
      <c r="H98" s="247"/>
      <c r="I98" s="246"/>
      <c r="J98" s="246"/>
      <c r="K98" s="247"/>
      <c r="L98" s="247"/>
      <c r="M98" s="247"/>
      <c r="N98" s="246"/>
      <c r="O98" s="328"/>
      <c r="P98" s="247"/>
      <c r="Q98" s="246"/>
      <c r="R98" s="246"/>
      <c r="S98" s="246"/>
      <c r="T98" s="326"/>
      <c r="U98" s="326"/>
      <c r="V98" s="326"/>
      <c r="W98" s="326"/>
      <c r="X98" s="326"/>
      <c r="Y98" s="326"/>
      <c r="Z98" s="326"/>
      <c r="AA98" s="656"/>
      <c r="AB98" s="765"/>
      <c r="AC98" s="765"/>
      <c r="AD98" s="765"/>
      <c r="AE98" s="630"/>
    </row>
    <row r="99" spans="1:31" s="73" customFormat="1">
      <c r="A99" s="244"/>
      <c r="B99" s="245"/>
      <c r="C99" s="246"/>
      <c r="D99" s="247"/>
      <c r="E99" s="247"/>
      <c r="F99" s="247"/>
      <c r="G99" s="247"/>
      <c r="H99" s="247"/>
      <c r="I99" s="246"/>
      <c r="J99" s="246"/>
      <c r="K99" s="247"/>
      <c r="L99" s="247"/>
      <c r="M99" s="247"/>
      <c r="N99" s="246"/>
      <c r="O99" s="328"/>
      <c r="P99" s="247"/>
      <c r="Q99" s="246"/>
      <c r="R99" s="246"/>
      <c r="S99" s="246"/>
      <c r="T99" s="326"/>
      <c r="U99" s="326"/>
      <c r="V99" s="326"/>
      <c r="W99" s="326"/>
      <c r="X99" s="326"/>
      <c r="Y99" s="326"/>
      <c r="Z99" s="326"/>
      <c r="AA99" s="656"/>
      <c r="AB99" s="765"/>
      <c r="AC99" s="765"/>
      <c r="AD99" s="765"/>
      <c r="AE99" s="630"/>
    </row>
    <row r="100" spans="1:31" s="73" customFormat="1">
      <c r="A100" s="249"/>
      <c r="B100" s="325"/>
      <c r="C100" s="256"/>
      <c r="D100" s="257"/>
      <c r="E100" s="257"/>
      <c r="F100" s="257"/>
      <c r="G100" s="257"/>
      <c r="H100" s="257"/>
      <c r="I100" s="256"/>
      <c r="J100" s="256"/>
      <c r="K100" s="257"/>
      <c r="L100" s="257"/>
      <c r="M100" s="257"/>
      <c r="N100" s="256"/>
      <c r="O100" s="652"/>
      <c r="P100" s="257"/>
      <c r="Q100" s="256"/>
      <c r="R100" s="256"/>
      <c r="S100" s="256"/>
      <c r="T100" s="327"/>
      <c r="U100" s="327"/>
      <c r="V100" s="327"/>
      <c r="W100" s="327"/>
      <c r="X100" s="327"/>
      <c r="Y100" s="327"/>
      <c r="Z100" s="327"/>
      <c r="AA100" s="655"/>
      <c r="AB100" s="766"/>
      <c r="AC100" s="766"/>
      <c r="AD100" s="766"/>
      <c r="AE100" s="630"/>
    </row>
    <row r="101" spans="1:31" s="73" customFormat="1">
      <c r="A101" s="638"/>
      <c r="B101" s="636"/>
      <c r="C101" s="633"/>
      <c r="D101" s="637"/>
      <c r="E101" s="637"/>
      <c r="F101" s="637"/>
      <c r="G101" s="637"/>
      <c r="H101" s="637"/>
      <c r="I101" s="633"/>
      <c r="J101" s="633"/>
      <c r="K101" s="637"/>
      <c r="L101" s="637"/>
      <c r="M101" s="637"/>
      <c r="N101" s="633"/>
      <c r="O101" s="633"/>
      <c r="P101" s="637"/>
      <c r="Q101" s="633"/>
      <c r="R101" s="633"/>
      <c r="S101" s="633"/>
      <c r="T101" s="645"/>
      <c r="U101" s="645"/>
      <c r="V101" s="645"/>
      <c r="W101" s="645"/>
      <c r="X101" s="645"/>
      <c r="Y101" s="645"/>
      <c r="Z101" s="645"/>
      <c r="AA101" s="653"/>
      <c r="AB101" s="765"/>
      <c r="AC101" s="765"/>
      <c r="AD101" s="765"/>
      <c r="AE101" s="630"/>
    </row>
    <row r="102" spans="1:31" s="73" customFormat="1">
      <c r="A102" s="244"/>
      <c r="B102" s="245"/>
      <c r="C102" s="246"/>
      <c r="D102" s="247"/>
      <c r="E102" s="247"/>
      <c r="F102" s="247"/>
      <c r="G102" s="247"/>
      <c r="H102" s="247"/>
      <c r="I102" s="246"/>
      <c r="J102" s="246"/>
      <c r="K102" s="247"/>
      <c r="L102" s="247"/>
      <c r="M102" s="247"/>
      <c r="N102" s="246"/>
      <c r="O102" s="246"/>
      <c r="P102" s="247"/>
      <c r="Q102" s="246"/>
      <c r="R102" s="246"/>
      <c r="S102" s="246"/>
      <c r="T102" s="326"/>
      <c r="U102" s="326"/>
      <c r="V102" s="326"/>
      <c r="W102" s="326"/>
      <c r="X102" s="326"/>
      <c r="Y102" s="326"/>
      <c r="Z102" s="326"/>
      <c r="AA102" s="654"/>
      <c r="AB102" s="765"/>
      <c r="AC102" s="765"/>
      <c r="AD102" s="765"/>
      <c r="AE102" s="630"/>
    </row>
    <row r="103" spans="1:31" s="73" customFormat="1">
      <c r="A103" s="244"/>
      <c r="B103" s="248"/>
      <c r="C103" s="256"/>
      <c r="D103" s="257"/>
      <c r="E103" s="257"/>
      <c r="F103" s="257"/>
      <c r="G103" s="257"/>
      <c r="H103" s="257"/>
      <c r="I103" s="256"/>
      <c r="J103" s="256"/>
      <c r="K103" s="663"/>
      <c r="L103" s="663"/>
      <c r="M103" s="663"/>
      <c r="N103" s="256"/>
      <c r="O103" s="652"/>
      <c r="P103" s="257"/>
      <c r="Q103" s="256"/>
      <c r="R103" s="256"/>
      <c r="S103" s="256"/>
      <c r="T103" s="327"/>
      <c r="U103" s="327"/>
      <c r="V103" s="327"/>
      <c r="W103" s="327"/>
      <c r="X103" s="327"/>
      <c r="Y103" s="327"/>
      <c r="Z103" s="327"/>
      <c r="AA103" s="655"/>
      <c r="AB103" s="766"/>
      <c r="AC103" s="766"/>
      <c r="AD103" s="766"/>
      <c r="AE103" s="630"/>
    </row>
    <row r="104" spans="1:31" s="73" customFormat="1">
      <c r="A104" s="244"/>
      <c r="B104" s="245"/>
      <c r="C104" s="246"/>
      <c r="D104" s="247"/>
      <c r="E104" s="247"/>
      <c r="F104" s="247"/>
      <c r="G104" s="247"/>
      <c r="H104" s="247"/>
      <c r="I104" s="246"/>
      <c r="J104" s="246"/>
      <c r="K104" s="247"/>
      <c r="L104" s="247"/>
      <c r="M104" s="247"/>
      <c r="N104" s="246"/>
      <c r="O104" s="328"/>
      <c r="P104" s="247"/>
      <c r="Q104" s="246"/>
      <c r="R104" s="246"/>
      <c r="S104" s="246"/>
      <c r="T104" s="326"/>
      <c r="U104" s="326"/>
      <c r="V104" s="326"/>
      <c r="W104" s="326"/>
      <c r="X104" s="326"/>
      <c r="Y104" s="326"/>
      <c r="Z104" s="326"/>
      <c r="AA104" s="656"/>
      <c r="AB104" s="765"/>
      <c r="AC104" s="765"/>
      <c r="AD104" s="765"/>
      <c r="AE104" s="630"/>
    </row>
    <row r="105" spans="1:31" s="73" customFormat="1">
      <c r="A105" s="244"/>
      <c r="B105" s="245"/>
      <c r="C105" s="246"/>
      <c r="D105" s="247"/>
      <c r="E105" s="247"/>
      <c r="F105" s="247"/>
      <c r="G105" s="247"/>
      <c r="H105" s="247"/>
      <c r="I105" s="246"/>
      <c r="J105" s="246"/>
      <c r="K105" s="247"/>
      <c r="L105" s="247"/>
      <c r="M105" s="247"/>
      <c r="N105" s="246"/>
      <c r="O105" s="328"/>
      <c r="P105" s="247"/>
      <c r="Q105" s="246"/>
      <c r="R105" s="246"/>
      <c r="S105" s="246"/>
      <c r="T105" s="326"/>
      <c r="U105" s="326"/>
      <c r="V105" s="326"/>
      <c r="W105" s="326"/>
      <c r="X105" s="326"/>
      <c r="Y105" s="326"/>
      <c r="Z105" s="326"/>
      <c r="AA105" s="656"/>
      <c r="AB105" s="765"/>
      <c r="AC105" s="765"/>
      <c r="AD105" s="765"/>
      <c r="AE105" s="630"/>
    </row>
    <row r="106" spans="1:31" s="73" customFormat="1">
      <c r="A106" s="244"/>
      <c r="B106" s="248"/>
      <c r="C106" s="256"/>
      <c r="D106" s="257"/>
      <c r="E106" s="257"/>
      <c r="F106" s="257"/>
      <c r="G106" s="257"/>
      <c r="H106" s="257"/>
      <c r="I106" s="256"/>
      <c r="J106" s="256"/>
      <c r="K106" s="257"/>
      <c r="L106" s="257"/>
      <c r="M106" s="257"/>
      <c r="N106" s="256"/>
      <c r="O106" s="652"/>
      <c r="P106" s="257"/>
      <c r="Q106" s="256"/>
      <c r="R106" s="256"/>
      <c r="S106" s="256"/>
      <c r="T106" s="327"/>
      <c r="U106" s="327"/>
      <c r="V106" s="327"/>
      <c r="W106" s="327"/>
      <c r="X106" s="327"/>
      <c r="Y106" s="327"/>
      <c r="Z106" s="327"/>
      <c r="AA106" s="655"/>
      <c r="AB106" s="766"/>
      <c r="AC106" s="766"/>
      <c r="AD106" s="766"/>
      <c r="AE106" s="630"/>
    </row>
    <row r="107" spans="1:31" s="73" customFormat="1">
      <c r="A107" s="244"/>
      <c r="B107" s="245"/>
      <c r="C107" s="246"/>
      <c r="D107" s="247"/>
      <c r="E107" s="247"/>
      <c r="F107" s="247"/>
      <c r="G107" s="247"/>
      <c r="H107" s="247"/>
      <c r="I107" s="246"/>
      <c r="J107" s="246"/>
      <c r="K107" s="247"/>
      <c r="L107" s="247"/>
      <c r="M107" s="247"/>
      <c r="N107" s="246"/>
      <c r="O107" s="328"/>
      <c r="P107" s="247"/>
      <c r="Q107" s="246"/>
      <c r="R107" s="246"/>
      <c r="S107" s="246"/>
      <c r="T107" s="326"/>
      <c r="U107" s="326"/>
      <c r="V107" s="326"/>
      <c r="W107" s="326"/>
      <c r="X107" s="326"/>
      <c r="Y107" s="326"/>
      <c r="Z107" s="326"/>
      <c r="AA107" s="656"/>
      <c r="AB107" s="765"/>
      <c r="AC107" s="765"/>
      <c r="AD107" s="765"/>
      <c r="AE107" s="630"/>
    </row>
    <row r="108" spans="1:31" s="73" customFormat="1">
      <c r="A108" s="244"/>
      <c r="B108" s="245"/>
      <c r="C108" s="246"/>
      <c r="D108" s="247"/>
      <c r="E108" s="247"/>
      <c r="F108" s="247"/>
      <c r="G108" s="247"/>
      <c r="H108" s="247"/>
      <c r="I108" s="246"/>
      <c r="J108" s="246"/>
      <c r="K108" s="247"/>
      <c r="L108" s="247"/>
      <c r="M108" s="247"/>
      <c r="N108" s="246"/>
      <c r="O108" s="328"/>
      <c r="P108" s="247"/>
      <c r="Q108" s="246"/>
      <c r="R108" s="246"/>
      <c r="S108" s="246"/>
      <c r="T108" s="326"/>
      <c r="U108" s="326"/>
      <c r="V108" s="326"/>
      <c r="W108" s="326"/>
      <c r="X108" s="326"/>
      <c r="Y108" s="326"/>
      <c r="Z108" s="326"/>
      <c r="AA108" s="656"/>
      <c r="AB108" s="765"/>
      <c r="AC108" s="765"/>
      <c r="AD108" s="765"/>
      <c r="AE108" s="630"/>
    </row>
    <row r="109" spans="1:31" s="73" customFormat="1">
      <c r="A109" s="244"/>
      <c r="B109" s="248"/>
      <c r="C109" s="256"/>
      <c r="D109" s="257"/>
      <c r="E109" s="257"/>
      <c r="F109" s="663"/>
      <c r="G109" s="257"/>
      <c r="H109" s="257"/>
      <c r="I109" s="256"/>
      <c r="J109" s="256"/>
      <c r="K109" s="257"/>
      <c r="L109" s="257"/>
      <c r="M109" s="257"/>
      <c r="N109" s="256"/>
      <c r="O109" s="652"/>
      <c r="P109" s="257"/>
      <c r="Q109" s="256"/>
      <c r="R109" s="256"/>
      <c r="S109" s="256"/>
      <c r="T109" s="327"/>
      <c r="U109" s="327"/>
      <c r="V109" s="327"/>
      <c r="W109" s="327"/>
      <c r="X109" s="327"/>
      <c r="Y109" s="327"/>
      <c r="Z109" s="327"/>
      <c r="AA109" s="655"/>
      <c r="AB109" s="766"/>
      <c r="AC109" s="766"/>
      <c r="AD109" s="766"/>
      <c r="AE109" s="630"/>
    </row>
    <row r="110" spans="1:31" s="73" customFormat="1">
      <c r="A110" s="244"/>
      <c r="B110" s="245"/>
      <c r="C110" s="246"/>
      <c r="D110" s="247"/>
      <c r="E110" s="247"/>
      <c r="F110" s="247"/>
      <c r="G110" s="247"/>
      <c r="H110" s="247"/>
      <c r="I110" s="246"/>
      <c r="J110" s="246"/>
      <c r="K110" s="247"/>
      <c r="L110" s="247"/>
      <c r="M110" s="247"/>
      <c r="N110" s="246"/>
      <c r="O110" s="328"/>
      <c r="P110" s="247"/>
      <c r="Q110" s="246"/>
      <c r="R110" s="246"/>
      <c r="S110" s="246"/>
      <c r="T110" s="326"/>
      <c r="U110" s="326"/>
      <c r="V110" s="326"/>
      <c r="W110" s="326"/>
      <c r="X110" s="326"/>
      <c r="Y110" s="326"/>
      <c r="Z110" s="326"/>
      <c r="AA110" s="656"/>
      <c r="AB110" s="765"/>
      <c r="AC110" s="765"/>
      <c r="AD110" s="765"/>
      <c r="AE110" s="630"/>
    </row>
    <row r="111" spans="1:31" s="73" customFormat="1">
      <c r="A111" s="244"/>
      <c r="B111" s="245"/>
      <c r="C111" s="246"/>
      <c r="D111" s="247"/>
      <c r="E111" s="247"/>
      <c r="F111" s="247"/>
      <c r="G111" s="247"/>
      <c r="H111" s="247"/>
      <c r="I111" s="246"/>
      <c r="J111" s="246"/>
      <c r="K111" s="247"/>
      <c r="L111" s="247"/>
      <c r="M111" s="247"/>
      <c r="N111" s="246"/>
      <c r="O111" s="328"/>
      <c r="P111" s="247"/>
      <c r="Q111" s="246"/>
      <c r="R111" s="246"/>
      <c r="S111" s="246"/>
      <c r="T111" s="326"/>
      <c r="U111" s="326"/>
      <c r="V111" s="326"/>
      <c r="W111" s="326"/>
      <c r="X111" s="326"/>
      <c r="Y111" s="326"/>
      <c r="Z111" s="326"/>
      <c r="AA111" s="656"/>
      <c r="AB111" s="765"/>
      <c r="AC111" s="765"/>
      <c r="AD111" s="765"/>
      <c r="AE111" s="630"/>
    </row>
    <row r="112" spans="1:31" s="73" customFormat="1">
      <c r="A112" s="249"/>
      <c r="B112" s="325"/>
      <c r="C112" s="256"/>
      <c r="D112" s="257"/>
      <c r="E112" s="257"/>
      <c r="F112" s="257"/>
      <c r="G112" s="257"/>
      <c r="H112" s="257"/>
      <c r="I112" s="256"/>
      <c r="J112" s="256"/>
      <c r="K112" s="257"/>
      <c r="L112" s="257"/>
      <c r="M112" s="257"/>
      <c r="N112" s="256"/>
      <c r="O112" s="652"/>
      <c r="P112" s="257"/>
      <c r="Q112" s="256"/>
      <c r="R112" s="256"/>
      <c r="S112" s="256"/>
      <c r="T112" s="327"/>
      <c r="U112" s="327"/>
      <c r="V112" s="327"/>
      <c r="W112" s="327"/>
      <c r="X112" s="327"/>
      <c r="Y112" s="327"/>
      <c r="Z112" s="327"/>
      <c r="AA112" s="655"/>
      <c r="AB112" s="766"/>
      <c r="AC112" s="766"/>
      <c r="AD112" s="766"/>
      <c r="AE112" s="630"/>
    </row>
    <row r="113" spans="1:31" s="73" customFormat="1">
      <c r="A113" s="638"/>
      <c r="B113" s="636"/>
      <c r="C113" s="633"/>
      <c r="D113" s="637"/>
      <c r="E113" s="637"/>
      <c r="F113" s="637"/>
      <c r="G113" s="637"/>
      <c r="H113" s="637"/>
      <c r="I113" s="633"/>
      <c r="J113" s="633"/>
      <c r="K113" s="637"/>
      <c r="L113" s="637"/>
      <c r="M113" s="637"/>
      <c r="N113" s="633"/>
      <c r="O113" s="633"/>
      <c r="P113" s="637"/>
      <c r="Q113" s="633"/>
      <c r="R113" s="633"/>
      <c r="S113" s="633"/>
      <c r="T113" s="645"/>
      <c r="U113" s="645"/>
      <c r="V113" s="645"/>
      <c r="W113" s="645"/>
      <c r="X113" s="645"/>
      <c r="Y113" s="645"/>
      <c r="Z113" s="645"/>
      <c r="AA113" s="653"/>
      <c r="AB113" s="765"/>
      <c r="AC113" s="765"/>
      <c r="AD113" s="765"/>
      <c r="AE113" s="630"/>
    </row>
    <row r="114" spans="1:31" s="73" customFormat="1">
      <c r="A114" s="244"/>
      <c r="B114" s="245"/>
      <c r="C114" s="246"/>
      <c r="D114" s="247"/>
      <c r="E114" s="247"/>
      <c r="F114" s="247"/>
      <c r="G114" s="247"/>
      <c r="H114" s="247"/>
      <c r="I114" s="246"/>
      <c r="J114" s="246"/>
      <c r="K114" s="247"/>
      <c r="L114" s="247"/>
      <c r="M114" s="247"/>
      <c r="N114" s="246"/>
      <c r="O114" s="246"/>
      <c r="P114" s="247"/>
      <c r="Q114" s="246"/>
      <c r="R114" s="246"/>
      <c r="S114" s="246"/>
      <c r="T114" s="326"/>
      <c r="U114" s="326"/>
      <c r="V114" s="326"/>
      <c r="W114" s="326"/>
      <c r="X114" s="326"/>
      <c r="Y114" s="326"/>
      <c r="Z114" s="326"/>
      <c r="AA114" s="654"/>
      <c r="AB114" s="765"/>
      <c r="AC114" s="765"/>
      <c r="AD114" s="765"/>
      <c r="AE114" s="630"/>
    </row>
    <row r="115" spans="1:31" s="73" customFormat="1">
      <c r="A115" s="244"/>
      <c r="B115" s="248"/>
      <c r="C115" s="256"/>
      <c r="D115" s="257"/>
      <c r="E115" s="257"/>
      <c r="F115" s="257"/>
      <c r="G115" s="663"/>
      <c r="H115" s="257"/>
      <c r="I115" s="256"/>
      <c r="J115" s="256"/>
      <c r="K115" s="663"/>
      <c r="L115" s="663"/>
      <c r="M115" s="663"/>
      <c r="N115" s="256"/>
      <c r="O115" s="652"/>
      <c r="P115" s="257"/>
      <c r="Q115" s="256"/>
      <c r="R115" s="256"/>
      <c r="S115" s="256"/>
      <c r="T115" s="327"/>
      <c r="U115" s="327"/>
      <c r="V115" s="327"/>
      <c r="W115" s="327"/>
      <c r="X115" s="327"/>
      <c r="Y115" s="327"/>
      <c r="Z115" s="327"/>
      <c r="AA115" s="655"/>
      <c r="AB115" s="766"/>
      <c r="AC115" s="766"/>
      <c r="AD115" s="766"/>
      <c r="AE115" s="630"/>
    </row>
    <row r="116" spans="1:31" s="73" customFormat="1">
      <c r="A116" s="244"/>
      <c r="B116" s="245"/>
      <c r="C116" s="246"/>
      <c r="D116" s="247"/>
      <c r="E116" s="247"/>
      <c r="F116" s="247"/>
      <c r="G116" s="247"/>
      <c r="H116" s="247"/>
      <c r="I116" s="246"/>
      <c r="J116" s="246"/>
      <c r="K116" s="247"/>
      <c r="L116" s="247"/>
      <c r="M116" s="247"/>
      <c r="N116" s="246"/>
      <c r="O116" s="328"/>
      <c r="P116" s="247"/>
      <c r="Q116" s="246"/>
      <c r="R116" s="246"/>
      <c r="S116" s="246"/>
      <c r="T116" s="326"/>
      <c r="U116" s="326"/>
      <c r="V116" s="326"/>
      <c r="W116" s="326"/>
      <c r="X116" s="326"/>
      <c r="Y116" s="326"/>
      <c r="Z116" s="326"/>
      <c r="AA116" s="656"/>
      <c r="AB116" s="765"/>
      <c r="AC116" s="765"/>
      <c r="AD116" s="765"/>
      <c r="AE116" s="630"/>
    </row>
    <row r="117" spans="1:31" s="73" customFormat="1">
      <c r="A117" s="244"/>
      <c r="B117" s="245"/>
      <c r="C117" s="246"/>
      <c r="D117" s="247"/>
      <c r="E117" s="247"/>
      <c r="F117" s="247"/>
      <c r="G117" s="247"/>
      <c r="H117" s="247"/>
      <c r="I117" s="246"/>
      <c r="J117" s="246"/>
      <c r="K117" s="247"/>
      <c r="L117" s="247"/>
      <c r="M117" s="247"/>
      <c r="N117" s="246"/>
      <c r="O117" s="328"/>
      <c r="P117" s="247"/>
      <c r="Q117" s="246"/>
      <c r="R117" s="246"/>
      <c r="S117" s="246"/>
      <c r="T117" s="326"/>
      <c r="U117" s="326"/>
      <c r="V117" s="326"/>
      <c r="W117" s="326"/>
      <c r="X117" s="326"/>
      <c r="Y117" s="326"/>
      <c r="Z117" s="326"/>
      <c r="AA117" s="656"/>
      <c r="AB117" s="765"/>
      <c r="AC117" s="765"/>
      <c r="AD117" s="765"/>
      <c r="AE117" s="630"/>
    </row>
    <row r="118" spans="1:31" s="73" customFormat="1">
      <c r="A118" s="244"/>
      <c r="B118" s="248"/>
      <c r="C118" s="256"/>
      <c r="D118" s="257"/>
      <c r="E118" s="257"/>
      <c r="F118" s="257"/>
      <c r="G118" s="257"/>
      <c r="H118" s="257"/>
      <c r="I118" s="256"/>
      <c r="J118" s="256"/>
      <c r="K118" s="257"/>
      <c r="L118" s="257"/>
      <c r="M118" s="257"/>
      <c r="N118" s="256"/>
      <c r="O118" s="652"/>
      <c r="P118" s="257"/>
      <c r="Q118" s="256"/>
      <c r="R118" s="256"/>
      <c r="S118" s="256"/>
      <c r="T118" s="327"/>
      <c r="U118" s="327"/>
      <c r="V118" s="327"/>
      <c r="W118" s="327"/>
      <c r="X118" s="327"/>
      <c r="Y118" s="327"/>
      <c r="Z118" s="327"/>
      <c r="AA118" s="655"/>
      <c r="AB118" s="766"/>
      <c r="AC118" s="766"/>
      <c r="AD118" s="766"/>
      <c r="AE118" s="630"/>
    </row>
    <row r="119" spans="1:31" s="73" customFormat="1">
      <c r="A119" s="244"/>
      <c r="B119" s="245"/>
      <c r="C119" s="246"/>
      <c r="D119" s="247"/>
      <c r="E119" s="247"/>
      <c r="F119" s="247"/>
      <c r="G119" s="247"/>
      <c r="H119" s="247"/>
      <c r="I119" s="246"/>
      <c r="J119" s="246"/>
      <c r="K119" s="247"/>
      <c r="L119" s="247"/>
      <c r="M119" s="247"/>
      <c r="N119" s="246"/>
      <c r="O119" s="328"/>
      <c r="P119" s="247"/>
      <c r="Q119" s="246"/>
      <c r="R119" s="246"/>
      <c r="S119" s="246"/>
      <c r="T119" s="326"/>
      <c r="U119" s="326"/>
      <c r="V119" s="326"/>
      <c r="W119" s="326"/>
      <c r="X119" s="326"/>
      <c r="Y119" s="326"/>
      <c r="Z119" s="326"/>
      <c r="AA119" s="656"/>
      <c r="AB119" s="765"/>
      <c r="AC119" s="765"/>
      <c r="AD119" s="765"/>
      <c r="AE119" s="630"/>
    </row>
    <row r="120" spans="1:31" s="73" customFormat="1">
      <c r="A120" s="244"/>
      <c r="B120" s="245"/>
      <c r="C120" s="246"/>
      <c r="D120" s="247"/>
      <c r="E120" s="247"/>
      <c r="F120" s="247"/>
      <c r="G120" s="247"/>
      <c r="H120" s="247"/>
      <c r="I120" s="246"/>
      <c r="J120" s="246"/>
      <c r="K120" s="247"/>
      <c r="L120" s="247"/>
      <c r="M120" s="247"/>
      <c r="N120" s="246"/>
      <c r="O120" s="328"/>
      <c r="P120" s="247"/>
      <c r="Q120" s="246"/>
      <c r="R120" s="246"/>
      <c r="S120" s="246"/>
      <c r="T120" s="326"/>
      <c r="U120" s="326"/>
      <c r="V120" s="326"/>
      <c r="W120" s="326"/>
      <c r="X120" s="326"/>
      <c r="Y120" s="326"/>
      <c r="Z120" s="326"/>
      <c r="AA120" s="656"/>
      <c r="AB120" s="765"/>
      <c r="AC120" s="765"/>
      <c r="AD120" s="765"/>
      <c r="AE120" s="630"/>
    </row>
    <row r="121" spans="1:31" s="73" customFormat="1">
      <c r="A121" s="244"/>
      <c r="B121" s="248"/>
      <c r="C121" s="256"/>
      <c r="D121" s="663"/>
      <c r="E121" s="663"/>
      <c r="F121" s="257"/>
      <c r="G121" s="257"/>
      <c r="H121" s="257"/>
      <c r="I121" s="256"/>
      <c r="J121" s="256"/>
      <c r="K121" s="257"/>
      <c r="L121" s="257"/>
      <c r="M121" s="257"/>
      <c r="N121" s="256"/>
      <c r="O121" s="652"/>
      <c r="P121" s="257"/>
      <c r="Q121" s="256"/>
      <c r="R121" s="256"/>
      <c r="S121" s="256"/>
      <c r="T121" s="327"/>
      <c r="U121" s="327"/>
      <c r="V121" s="327"/>
      <c r="W121" s="327"/>
      <c r="X121" s="327"/>
      <c r="Y121" s="327"/>
      <c r="Z121" s="327"/>
      <c r="AA121" s="655"/>
      <c r="AB121" s="766"/>
      <c r="AC121" s="766"/>
      <c r="AD121" s="766"/>
      <c r="AE121" s="630"/>
    </row>
    <row r="122" spans="1:31" s="73" customFormat="1">
      <c r="A122" s="244"/>
      <c r="B122" s="245"/>
      <c r="C122" s="246"/>
      <c r="D122" s="247"/>
      <c r="E122" s="247"/>
      <c r="F122" s="247"/>
      <c r="G122" s="247"/>
      <c r="H122" s="247"/>
      <c r="I122" s="246"/>
      <c r="J122" s="246"/>
      <c r="K122" s="247"/>
      <c r="L122" s="247"/>
      <c r="M122" s="247"/>
      <c r="N122" s="246"/>
      <c r="O122" s="328"/>
      <c r="P122" s="247"/>
      <c r="Q122" s="246"/>
      <c r="R122" s="246"/>
      <c r="S122" s="246"/>
      <c r="T122" s="326"/>
      <c r="U122" s="326"/>
      <c r="V122" s="326"/>
      <c r="W122" s="326"/>
      <c r="X122" s="326"/>
      <c r="Y122" s="326"/>
      <c r="Z122" s="326"/>
      <c r="AA122" s="656"/>
      <c r="AB122" s="765"/>
      <c r="AC122" s="765"/>
      <c r="AD122" s="765"/>
      <c r="AE122" s="630"/>
    </row>
    <row r="123" spans="1:31" s="73" customFormat="1">
      <c r="A123" s="244"/>
      <c r="B123" s="245"/>
      <c r="C123" s="246"/>
      <c r="D123" s="247"/>
      <c r="E123" s="247"/>
      <c r="F123" s="247"/>
      <c r="G123" s="247"/>
      <c r="H123" s="247"/>
      <c r="I123" s="246"/>
      <c r="J123" s="246"/>
      <c r="K123" s="247"/>
      <c r="L123" s="247"/>
      <c r="M123" s="247"/>
      <c r="N123" s="246"/>
      <c r="O123" s="328"/>
      <c r="P123" s="247"/>
      <c r="Q123" s="246"/>
      <c r="R123" s="246"/>
      <c r="S123" s="246"/>
      <c r="T123" s="326"/>
      <c r="U123" s="326"/>
      <c r="V123" s="326"/>
      <c r="W123" s="326"/>
      <c r="X123" s="326"/>
      <c r="Y123" s="326"/>
      <c r="Z123" s="326"/>
      <c r="AA123" s="656"/>
      <c r="AB123" s="765"/>
      <c r="AC123" s="765"/>
      <c r="AD123" s="765"/>
      <c r="AE123" s="630"/>
    </row>
    <row r="124" spans="1:31" s="73" customFormat="1">
      <c r="A124" s="249"/>
      <c r="B124" s="325"/>
      <c r="C124" s="256"/>
      <c r="D124" s="257"/>
      <c r="E124" s="257"/>
      <c r="F124" s="257"/>
      <c r="G124" s="257"/>
      <c r="H124" s="257"/>
      <c r="I124" s="256"/>
      <c r="J124" s="256"/>
      <c r="K124" s="257"/>
      <c r="L124" s="257"/>
      <c r="M124" s="257"/>
      <c r="N124" s="256"/>
      <c r="O124" s="652"/>
      <c r="P124" s="257"/>
      <c r="Q124" s="256"/>
      <c r="R124" s="256"/>
      <c r="S124" s="256"/>
      <c r="T124" s="327"/>
      <c r="U124" s="327"/>
      <c r="V124" s="327"/>
      <c r="W124" s="327"/>
      <c r="X124" s="327"/>
      <c r="Y124" s="327"/>
      <c r="Z124" s="327"/>
      <c r="AA124" s="655"/>
      <c r="AB124" s="766"/>
      <c r="AC124" s="766"/>
      <c r="AD124" s="766"/>
      <c r="AE124" s="630"/>
    </row>
    <row r="125" spans="1:31" s="73" customFormat="1">
      <c r="A125" s="638"/>
      <c r="B125" s="636"/>
      <c r="C125" s="633"/>
      <c r="D125" s="637"/>
      <c r="E125" s="637"/>
      <c r="F125" s="637"/>
      <c r="G125" s="637"/>
      <c r="H125" s="637"/>
      <c r="I125" s="633"/>
      <c r="J125" s="633"/>
      <c r="K125" s="637"/>
      <c r="L125" s="637"/>
      <c r="M125" s="637"/>
      <c r="N125" s="633"/>
      <c r="O125" s="633"/>
      <c r="P125" s="637"/>
      <c r="Q125" s="633"/>
      <c r="R125" s="633"/>
      <c r="S125" s="633"/>
      <c r="T125" s="645"/>
      <c r="U125" s="645"/>
      <c r="V125" s="645"/>
      <c r="W125" s="645"/>
      <c r="X125" s="645"/>
      <c r="Y125" s="645"/>
      <c r="Z125" s="645"/>
      <c r="AA125" s="653"/>
      <c r="AB125" s="765"/>
      <c r="AC125" s="765"/>
      <c r="AD125" s="765"/>
      <c r="AE125" s="630"/>
    </row>
    <row r="126" spans="1:31" s="73" customFormat="1">
      <c r="A126" s="244"/>
      <c r="B126" s="245"/>
      <c r="C126" s="246"/>
      <c r="D126" s="247"/>
      <c r="E126" s="247"/>
      <c r="F126" s="247"/>
      <c r="G126" s="247"/>
      <c r="H126" s="247"/>
      <c r="I126" s="246"/>
      <c r="J126" s="246"/>
      <c r="K126" s="247"/>
      <c r="L126" s="247"/>
      <c r="M126" s="247"/>
      <c r="N126" s="246"/>
      <c r="O126" s="246"/>
      <c r="P126" s="247"/>
      <c r="Q126" s="246"/>
      <c r="R126" s="246"/>
      <c r="S126" s="246"/>
      <c r="T126" s="326"/>
      <c r="U126" s="326"/>
      <c r="V126" s="326"/>
      <c r="W126" s="326"/>
      <c r="X126" s="326"/>
      <c r="Y126" s="326"/>
      <c r="Z126" s="326"/>
      <c r="AA126" s="654"/>
      <c r="AB126" s="765"/>
      <c r="AC126" s="765"/>
      <c r="AD126" s="765"/>
      <c r="AE126" s="630"/>
    </row>
    <row r="127" spans="1:31" s="73" customFormat="1">
      <c r="A127" s="244"/>
      <c r="B127" s="248"/>
      <c r="C127" s="256"/>
      <c r="D127" s="257"/>
      <c r="E127" s="257"/>
      <c r="F127" s="257"/>
      <c r="G127" s="257"/>
      <c r="H127" s="257"/>
      <c r="I127" s="256"/>
      <c r="J127" s="256"/>
      <c r="K127" s="257"/>
      <c r="L127" s="663"/>
      <c r="M127" s="257"/>
      <c r="N127" s="256"/>
      <c r="O127" s="652"/>
      <c r="P127" s="257"/>
      <c r="Q127" s="256"/>
      <c r="R127" s="256"/>
      <c r="S127" s="256"/>
      <c r="T127" s="327"/>
      <c r="U127" s="327"/>
      <c r="V127" s="327"/>
      <c r="W127" s="327"/>
      <c r="X127" s="327"/>
      <c r="Y127" s="327"/>
      <c r="Z127" s="327"/>
      <c r="AA127" s="655"/>
      <c r="AB127" s="766"/>
      <c r="AC127" s="766"/>
      <c r="AD127" s="766"/>
      <c r="AE127" s="630"/>
    </row>
    <row r="128" spans="1:31" s="73" customFormat="1">
      <c r="A128" s="244"/>
      <c r="B128" s="245"/>
      <c r="C128" s="246"/>
      <c r="D128" s="247"/>
      <c r="E128" s="247"/>
      <c r="F128" s="247"/>
      <c r="G128" s="247"/>
      <c r="H128" s="247"/>
      <c r="I128" s="246"/>
      <c r="J128" s="246"/>
      <c r="K128" s="247"/>
      <c r="L128" s="247"/>
      <c r="M128" s="247"/>
      <c r="N128" s="246"/>
      <c r="O128" s="328"/>
      <c r="P128" s="247"/>
      <c r="Q128" s="246"/>
      <c r="R128" s="246"/>
      <c r="S128" s="246"/>
      <c r="T128" s="326"/>
      <c r="U128" s="326"/>
      <c r="V128" s="326"/>
      <c r="W128" s="326"/>
      <c r="X128" s="326"/>
      <c r="Y128" s="326"/>
      <c r="Z128" s="326"/>
      <c r="AA128" s="656"/>
      <c r="AB128" s="765"/>
      <c r="AC128" s="765"/>
      <c r="AD128" s="765"/>
      <c r="AE128" s="630"/>
    </row>
    <row r="129" spans="1:31" s="73" customFormat="1">
      <c r="A129" s="244"/>
      <c r="B129" s="245"/>
      <c r="C129" s="246"/>
      <c r="D129" s="247"/>
      <c r="E129" s="247"/>
      <c r="F129" s="247"/>
      <c r="G129" s="247"/>
      <c r="H129" s="247"/>
      <c r="I129" s="246"/>
      <c r="J129" s="246"/>
      <c r="K129" s="247"/>
      <c r="L129" s="247"/>
      <c r="M129" s="247"/>
      <c r="N129" s="246"/>
      <c r="O129" s="328"/>
      <c r="P129" s="247"/>
      <c r="Q129" s="246"/>
      <c r="R129" s="246"/>
      <c r="S129" s="246"/>
      <c r="T129" s="326"/>
      <c r="U129" s="326"/>
      <c r="V129" s="326"/>
      <c r="W129" s="326"/>
      <c r="X129" s="326"/>
      <c r="Y129" s="326"/>
      <c r="Z129" s="326"/>
      <c r="AA129" s="656"/>
      <c r="AB129" s="765"/>
      <c r="AC129" s="765"/>
      <c r="AD129" s="765"/>
      <c r="AE129" s="630"/>
    </row>
    <row r="130" spans="1:31" s="73" customFormat="1">
      <c r="A130" s="244"/>
      <c r="B130" s="248"/>
      <c r="C130" s="256"/>
      <c r="D130" s="257"/>
      <c r="E130" s="257"/>
      <c r="F130" s="257"/>
      <c r="G130" s="257"/>
      <c r="H130" s="257"/>
      <c r="I130" s="256"/>
      <c r="J130" s="256"/>
      <c r="K130" s="257"/>
      <c r="L130" s="257"/>
      <c r="M130" s="257"/>
      <c r="N130" s="256"/>
      <c r="O130" s="664"/>
      <c r="P130" s="663"/>
      <c r="Q130" s="256"/>
      <c r="R130" s="256"/>
      <c r="S130" s="256"/>
      <c r="T130" s="327"/>
      <c r="U130" s="327"/>
      <c r="V130" s="327"/>
      <c r="W130" s="327"/>
      <c r="X130" s="327"/>
      <c r="Y130" s="327"/>
      <c r="Z130" s="327"/>
      <c r="AA130" s="655"/>
      <c r="AB130" s="766"/>
      <c r="AC130" s="766"/>
      <c r="AD130" s="766"/>
      <c r="AE130" s="630"/>
    </row>
    <row r="131" spans="1:31" s="73" customFormat="1">
      <c r="A131" s="244"/>
      <c r="B131" s="245"/>
      <c r="C131" s="246"/>
      <c r="D131" s="247"/>
      <c r="E131" s="247"/>
      <c r="F131" s="247"/>
      <c r="G131" s="247"/>
      <c r="H131" s="247"/>
      <c r="I131" s="246"/>
      <c r="J131" s="246"/>
      <c r="K131" s="247"/>
      <c r="L131" s="247"/>
      <c r="M131" s="247"/>
      <c r="N131" s="246"/>
      <c r="O131" s="328"/>
      <c r="P131" s="247"/>
      <c r="Q131" s="246"/>
      <c r="R131" s="246"/>
      <c r="S131" s="246"/>
      <c r="T131" s="326"/>
      <c r="U131" s="326"/>
      <c r="V131" s="326"/>
      <c r="W131" s="326"/>
      <c r="X131" s="326"/>
      <c r="Y131" s="326"/>
      <c r="Z131" s="326"/>
      <c r="AA131" s="656"/>
      <c r="AB131" s="765"/>
      <c r="AC131" s="765"/>
      <c r="AD131" s="765"/>
      <c r="AE131" s="630"/>
    </row>
    <row r="132" spans="1:31" s="73" customFormat="1">
      <c r="A132" s="244"/>
      <c r="B132" s="245"/>
      <c r="C132" s="246"/>
      <c r="D132" s="247"/>
      <c r="E132" s="247"/>
      <c r="F132" s="247"/>
      <c r="G132" s="247"/>
      <c r="H132" s="247"/>
      <c r="I132" s="246"/>
      <c r="J132" s="726"/>
      <c r="K132" s="247"/>
      <c r="L132" s="247"/>
      <c r="M132" s="247"/>
      <c r="N132" s="246"/>
      <c r="O132" s="328"/>
      <c r="P132" s="247"/>
      <c r="Q132" s="246"/>
      <c r="R132" s="246"/>
      <c r="S132" s="246"/>
      <c r="T132" s="326"/>
      <c r="U132" s="326"/>
      <c r="V132" s="326"/>
      <c r="W132" s="326"/>
      <c r="X132" s="326"/>
      <c r="Y132" s="326"/>
      <c r="Z132" s="326"/>
      <c r="AA132" s="656"/>
      <c r="AB132" s="765"/>
      <c r="AC132" s="765"/>
      <c r="AD132" s="765"/>
      <c r="AE132" s="630"/>
    </row>
    <row r="133" spans="1:31" s="73" customFormat="1">
      <c r="A133" s="244"/>
      <c r="B133" s="248"/>
      <c r="C133" s="665"/>
      <c r="D133" s="257"/>
      <c r="E133" s="257"/>
      <c r="F133" s="257"/>
      <c r="G133" s="257"/>
      <c r="H133" s="257"/>
      <c r="I133" s="256"/>
      <c r="J133" s="256"/>
      <c r="K133" s="257"/>
      <c r="L133" s="257"/>
      <c r="M133" s="257"/>
      <c r="N133" s="256"/>
      <c r="O133" s="652"/>
      <c r="P133" s="257"/>
      <c r="Q133" s="256"/>
      <c r="R133" s="256"/>
      <c r="S133" s="256"/>
      <c r="T133" s="327"/>
      <c r="U133" s="327"/>
      <c r="V133" s="327"/>
      <c r="W133" s="327"/>
      <c r="X133" s="327"/>
      <c r="Y133" s="327"/>
      <c r="Z133" s="327"/>
      <c r="AA133" s="655"/>
      <c r="AB133" s="766"/>
      <c r="AC133" s="766"/>
      <c r="AD133" s="766"/>
      <c r="AE133" s="630"/>
    </row>
    <row r="134" spans="1:31" s="73" customFormat="1">
      <c r="A134" s="244"/>
      <c r="B134" s="245"/>
      <c r="C134" s="246"/>
      <c r="D134" s="247"/>
      <c r="E134" s="247"/>
      <c r="F134" s="247"/>
      <c r="G134" s="247"/>
      <c r="H134" s="247"/>
      <c r="I134" s="246"/>
      <c r="J134" s="246"/>
      <c r="K134" s="247"/>
      <c r="L134" s="247"/>
      <c r="M134" s="247"/>
      <c r="N134" s="246"/>
      <c r="O134" s="328"/>
      <c r="P134" s="247"/>
      <c r="Q134" s="246"/>
      <c r="R134" s="246"/>
      <c r="S134" s="246"/>
      <c r="T134" s="326"/>
      <c r="U134" s="326"/>
      <c r="V134" s="326"/>
      <c r="W134" s="326"/>
      <c r="X134" s="326"/>
      <c r="Y134" s="326"/>
      <c r="Z134" s="326"/>
      <c r="AA134" s="656"/>
      <c r="AB134" s="765"/>
      <c r="AC134" s="765"/>
      <c r="AD134" s="765"/>
      <c r="AE134" s="630"/>
    </row>
    <row r="135" spans="1:31" s="73" customFormat="1">
      <c r="A135" s="244"/>
      <c r="B135" s="245"/>
      <c r="C135" s="246"/>
      <c r="D135" s="247"/>
      <c r="E135" s="247"/>
      <c r="F135" s="247"/>
      <c r="G135" s="247"/>
      <c r="H135" s="247"/>
      <c r="I135" s="246"/>
      <c r="J135" s="246"/>
      <c r="K135" s="247"/>
      <c r="L135" s="247"/>
      <c r="M135" s="247"/>
      <c r="N135" s="246"/>
      <c r="O135" s="328"/>
      <c r="P135" s="247"/>
      <c r="Q135" s="246"/>
      <c r="R135" s="246"/>
      <c r="S135" s="246"/>
      <c r="T135" s="326"/>
      <c r="U135" s="326"/>
      <c r="V135" s="326"/>
      <c r="W135" s="326"/>
      <c r="X135" s="326"/>
      <c r="Y135" s="326"/>
      <c r="Z135" s="326"/>
      <c r="AA135" s="656"/>
      <c r="AB135" s="765"/>
      <c r="AC135" s="765"/>
      <c r="AD135" s="765"/>
      <c r="AE135" s="630"/>
    </row>
    <row r="136" spans="1:31" s="73" customFormat="1">
      <c r="A136" s="249"/>
      <c r="B136" s="325"/>
      <c r="C136" s="256"/>
      <c r="D136" s="257"/>
      <c r="E136" s="257"/>
      <c r="F136" s="257"/>
      <c r="G136" s="257"/>
      <c r="H136" s="257"/>
      <c r="I136" s="256"/>
      <c r="J136" s="256"/>
      <c r="K136" s="257"/>
      <c r="L136" s="257"/>
      <c r="M136" s="257"/>
      <c r="N136" s="256"/>
      <c r="O136" s="652"/>
      <c r="P136" s="257"/>
      <c r="Q136" s="256"/>
      <c r="R136" s="256"/>
      <c r="S136" s="256"/>
      <c r="T136" s="327"/>
      <c r="U136" s="327"/>
      <c r="V136" s="327"/>
      <c r="W136" s="327"/>
      <c r="X136" s="327"/>
      <c r="Y136" s="327"/>
      <c r="Z136" s="327"/>
      <c r="AA136" s="655"/>
      <c r="AB136" s="766"/>
      <c r="AC136" s="766"/>
      <c r="AD136" s="766"/>
      <c r="AE136" s="630"/>
    </row>
    <row r="137" spans="1:31" s="73" customFormat="1">
      <c r="A137" s="638"/>
      <c r="B137" s="636"/>
      <c r="C137" s="633"/>
      <c r="D137" s="637"/>
      <c r="E137" s="637"/>
      <c r="F137" s="637"/>
      <c r="G137" s="637"/>
      <c r="H137" s="637"/>
      <c r="I137" s="633"/>
      <c r="J137" s="633"/>
      <c r="K137" s="637"/>
      <c r="L137" s="637"/>
      <c r="M137" s="637"/>
      <c r="N137" s="633"/>
      <c r="O137" s="633"/>
      <c r="P137" s="637"/>
      <c r="Q137" s="633"/>
      <c r="R137" s="633"/>
      <c r="S137" s="633"/>
      <c r="T137" s="645"/>
      <c r="U137" s="645"/>
      <c r="V137" s="645"/>
      <c r="W137" s="645"/>
      <c r="X137" s="645"/>
      <c r="Y137" s="645"/>
      <c r="Z137" s="645"/>
      <c r="AA137" s="653"/>
      <c r="AB137" s="765"/>
      <c r="AC137" s="765"/>
      <c r="AD137" s="765"/>
      <c r="AE137" s="630"/>
    </row>
    <row r="138" spans="1:31" s="73" customFormat="1">
      <c r="A138" s="244"/>
      <c r="B138" s="245"/>
      <c r="C138" s="246"/>
      <c r="D138" s="247"/>
      <c r="E138" s="247"/>
      <c r="F138" s="247"/>
      <c r="G138" s="247"/>
      <c r="H138" s="247"/>
      <c r="I138" s="246"/>
      <c r="J138" s="246"/>
      <c r="K138" s="247"/>
      <c r="L138" s="247"/>
      <c r="M138" s="247"/>
      <c r="N138" s="246"/>
      <c r="O138" s="246"/>
      <c r="P138" s="247"/>
      <c r="Q138" s="246"/>
      <c r="R138" s="246"/>
      <c r="S138" s="246"/>
      <c r="T138" s="326"/>
      <c r="U138" s="326"/>
      <c r="V138" s="326"/>
      <c r="W138" s="326"/>
      <c r="X138" s="326"/>
      <c r="Y138" s="326"/>
      <c r="Z138" s="326"/>
      <c r="AA138" s="654"/>
      <c r="AB138" s="765"/>
      <c r="AC138" s="765"/>
      <c r="AD138" s="765"/>
      <c r="AE138" s="630"/>
    </row>
    <row r="139" spans="1:31" s="73" customFormat="1">
      <c r="A139" s="244"/>
      <c r="B139" s="248"/>
      <c r="C139" s="256"/>
      <c r="D139" s="257"/>
      <c r="E139" s="257"/>
      <c r="F139" s="257"/>
      <c r="G139" s="257"/>
      <c r="H139" s="257"/>
      <c r="I139" s="256"/>
      <c r="J139" s="256"/>
      <c r="K139" s="663"/>
      <c r="L139" s="663"/>
      <c r="M139" s="257"/>
      <c r="N139" s="256"/>
      <c r="O139" s="652"/>
      <c r="P139" s="257"/>
      <c r="Q139" s="256"/>
      <c r="R139" s="256"/>
      <c r="S139" s="256"/>
      <c r="T139" s="327"/>
      <c r="U139" s="327"/>
      <c r="V139" s="327"/>
      <c r="W139" s="327"/>
      <c r="X139" s="327"/>
      <c r="Y139" s="327"/>
      <c r="Z139" s="327"/>
      <c r="AA139" s="655"/>
      <c r="AB139" s="766"/>
      <c r="AC139" s="766"/>
      <c r="AD139" s="766"/>
      <c r="AE139" s="630"/>
    </row>
    <row r="140" spans="1:31" s="73" customFormat="1">
      <c r="A140" s="244"/>
      <c r="B140" s="245"/>
      <c r="C140" s="246"/>
      <c r="D140" s="247"/>
      <c r="E140" s="247"/>
      <c r="F140" s="247"/>
      <c r="G140" s="247"/>
      <c r="H140" s="247"/>
      <c r="I140" s="246"/>
      <c r="J140" s="246"/>
      <c r="K140" s="247"/>
      <c r="L140" s="247"/>
      <c r="M140" s="247"/>
      <c r="N140" s="246"/>
      <c r="O140" s="328"/>
      <c r="P140" s="247"/>
      <c r="Q140" s="246"/>
      <c r="R140" s="246"/>
      <c r="S140" s="246"/>
      <c r="T140" s="326"/>
      <c r="U140" s="326"/>
      <c r="V140" s="326"/>
      <c r="W140" s="326"/>
      <c r="X140" s="326"/>
      <c r="Y140" s="326"/>
      <c r="Z140" s="326"/>
      <c r="AA140" s="656"/>
      <c r="AB140" s="765"/>
      <c r="AC140" s="765"/>
      <c r="AD140" s="765"/>
      <c r="AE140" s="630"/>
    </row>
    <row r="141" spans="1:31" s="73" customFormat="1">
      <c r="A141" s="244"/>
      <c r="B141" s="245"/>
      <c r="C141" s="246"/>
      <c r="D141" s="247"/>
      <c r="E141" s="247"/>
      <c r="F141" s="247"/>
      <c r="G141" s="247"/>
      <c r="H141" s="247"/>
      <c r="I141" s="246"/>
      <c r="J141" s="246"/>
      <c r="K141" s="247"/>
      <c r="L141" s="247"/>
      <c r="M141" s="247"/>
      <c r="N141" s="246"/>
      <c r="O141" s="328"/>
      <c r="P141" s="247"/>
      <c r="Q141" s="246"/>
      <c r="R141" s="246"/>
      <c r="S141" s="246"/>
      <c r="T141" s="326"/>
      <c r="U141" s="326"/>
      <c r="V141" s="326"/>
      <c r="W141" s="326"/>
      <c r="X141" s="326"/>
      <c r="Y141" s="326"/>
      <c r="Z141" s="326"/>
      <c r="AA141" s="656"/>
      <c r="AB141" s="765"/>
      <c r="AC141" s="765"/>
      <c r="AD141" s="765"/>
      <c r="AE141" s="630"/>
    </row>
    <row r="142" spans="1:31" s="73" customFormat="1">
      <c r="A142" s="244"/>
      <c r="B142" s="248"/>
      <c r="C142" s="256"/>
      <c r="D142" s="257"/>
      <c r="E142" s="257"/>
      <c r="F142" s="257"/>
      <c r="G142" s="257"/>
      <c r="H142" s="257"/>
      <c r="I142" s="256"/>
      <c r="J142" s="256"/>
      <c r="K142" s="257"/>
      <c r="L142" s="257"/>
      <c r="M142" s="257"/>
      <c r="N142" s="256"/>
      <c r="O142" s="652"/>
      <c r="P142" s="257"/>
      <c r="Q142" s="256"/>
      <c r="R142" s="256"/>
      <c r="S142" s="256"/>
      <c r="T142" s="327"/>
      <c r="U142" s="327"/>
      <c r="V142" s="327"/>
      <c r="W142" s="327"/>
      <c r="X142" s="327"/>
      <c r="Y142" s="327"/>
      <c r="Z142" s="327"/>
      <c r="AA142" s="655"/>
      <c r="AB142" s="766"/>
      <c r="AC142" s="766"/>
      <c r="AD142" s="766"/>
      <c r="AE142" s="630"/>
    </row>
    <row r="143" spans="1:31" s="73" customFormat="1">
      <c r="A143" s="244"/>
      <c r="B143" s="245"/>
      <c r="C143" s="246"/>
      <c r="D143" s="247"/>
      <c r="E143" s="247"/>
      <c r="F143" s="247"/>
      <c r="G143" s="247"/>
      <c r="H143" s="247"/>
      <c r="I143" s="246"/>
      <c r="J143" s="246"/>
      <c r="K143" s="247"/>
      <c r="L143" s="247"/>
      <c r="M143" s="247"/>
      <c r="N143" s="246"/>
      <c r="O143" s="328"/>
      <c r="P143" s="247"/>
      <c r="Q143" s="246"/>
      <c r="R143" s="246"/>
      <c r="S143" s="246"/>
      <c r="T143" s="326"/>
      <c r="U143" s="326"/>
      <c r="V143" s="326"/>
      <c r="W143" s="326"/>
      <c r="X143" s="326"/>
      <c r="Y143" s="326"/>
      <c r="Z143" s="326"/>
      <c r="AA143" s="656"/>
      <c r="AB143" s="765"/>
      <c r="AC143" s="765"/>
      <c r="AD143" s="765"/>
      <c r="AE143" s="630"/>
    </row>
    <row r="144" spans="1:31" s="73" customFormat="1">
      <c r="A144" s="244"/>
      <c r="B144" s="245"/>
      <c r="C144" s="246"/>
      <c r="D144" s="247"/>
      <c r="E144" s="247"/>
      <c r="F144" s="247"/>
      <c r="G144" s="247"/>
      <c r="H144" s="247"/>
      <c r="I144" s="246"/>
      <c r="J144" s="246"/>
      <c r="K144" s="247"/>
      <c r="L144" s="247"/>
      <c r="M144" s="247"/>
      <c r="N144" s="246"/>
      <c r="O144" s="328"/>
      <c r="P144" s="247"/>
      <c r="Q144" s="246"/>
      <c r="R144" s="246"/>
      <c r="S144" s="246"/>
      <c r="T144" s="326"/>
      <c r="U144" s="326"/>
      <c r="V144" s="326"/>
      <c r="W144" s="326"/>
      <c r="X144" s="326"/>
      <c r="Y144" s="326"/>
      <c r="Z144" s="326"/>
      <c r="AA144" s="656"/>
      <c r="AB144" s="765"/>
      <c r="AC144" s="765"/>
      <c r="AD144" s="765"/>
      <c r="AE144" s="630"/>
    </row>
    <row r="145" spans="1:31" s="73" customFormat="1">
      <c r="A145" s="244"/>
      <c r="B145" s="248"/>
      <c r="C145" s="256"/>
      <c r="D145" s="257"/>
      <c r="E145" s="257"/>
      <c r="F145" s="257"/>
      <c r="G145" s="257"/>
      <c r="H145" s="257"/>
      <c r="I145" s="256"/>
      <c r="J145" s="256"/>
      <c r="K145" s="257"/>
      <c r="L145" s="257"/>
      <c r="M145" s="257"/>
      <c r="N145" s="256"/>
      <c r="O145" s="652"/>
      <c r="P145" s="257"/>
      <c r="Q145" s="256"/>
      <c r="R145" s="256"/>
      <c r="S145" s="256"/>
      <c r="T145" s="327"/>
      <c r="U145" s="327"/>
      <c r="V145" s="327"/>
      <c r="W145" s="327"/>
      <c r="X145" s="327"/>
      <c r="Y145" s="327"/>
      <c r="Z145" s="327"/>
      <c r="AA145" s="655"/>
      <c r="AB145" s="766"/>
      <c r="AC145" s="766"/>
      <c r="AD145" s="766"/>
      <c r="AE145" s="630"/>
    </row>
    <row r="146" spans="1:31" s="73" customFormat="1">
      <c r="A146" s="244"/>
      <c r="B146" s="245"/>
      <c r="C146" s="246"/>
      <c r="D146" s="247"/>
      <c r="E146" s="247"/>
      <c r="F146" s="247"/>
      <c r="G146" s="247"/>
      <c r="H146" s="247"/>
      <c r="I146" s="246"/>
      <c r="J146" s="246"/>
      <c r="K146" s="247"/>
      <c r="L146" s="247"/>
      <c r="M146" s="247"/>
      <c r="N146" s="246"/>
      <c r="O146" s="328"/>
      <c r="P146" s="247"/>
      <c r="Q146" s="246"/>
      <c r="R146" s="246"/>
      <c r="S146" s="246"/>
      <c r="T146" s="326"/>
      <c r="U146" s="326"/>
      <c r="V146" s="326"/>
      <c r="W146" s="326"/>
      <c r="X146" s="326"/>
      <c r="Y146" s="326"/>
      <c r="Z146" s="326"/>
      <c r="AA146" s="656"/>
      <c r="AB146" s="765"/>
      <c r="AC146" s="765"/>
      <c r="AD146" s="765"/>
      <c r="AE146" s="630"/>
    </row>
    <row r="147" spans="1:31" s="73" customFormat="1">
      <c r="A147" s="244"/>
      <c r="B147" s="245"/>
      <c r="C147" s="246"/>
      <c r="D147" s="247"/>
      <c r="E147" s="247"/>
      <c r="F147" s="247"/>
      <c r="G147" s="247"/>
      <c r="H147" s="247"/>
      <c r="I147" s="246"/>
      <c r="J147" s="246"/>
      <c r="K147" s="247"/>
      <c r="L147" s="247"/>
      <c r="M147" s="247"/>
      <c r="N147" s="246"/>
      <c r="O147" s="328"/>
      <c r="P147" s="247"/>
      <c r="Q147" s="246"/>
      <c r="R147" s="246"/>
      <c r="S147" s="246"/>
      <c r="T147" s="326"/>
      <c r="U147" s="326"/>
      <c r="V147" s="326"/>
      <c r="W147" s="326"/>
      <c r="X147" s="326"/>
      <c r="Y147" s="326"/>
      <c r="Z147" s="326"/>
      <c r="AA147" s="656"/>
      <c r="AB147" s="765"/>
      <c r="AC147" s="765"/>
      <c r="AD147" s="765"/>
      <c r="AE147" s="630"/>
    </row>
    <row r="148" spans="1:31" s="73" customFormat="1">
      <c r="A148" s="249"/>
      <c r="B148" s="325"/>
      <c r="C148" s="256"/>
      <c r="D148" s="257"/>
      <c r="E148" s="257"/>
      <c r="F148" s="257"/>
      <c r="G148" s="257"/>
      <c r="H148" s="257"/>
      <c r="I148" s="256"/>
      <c r="J148" s="256"/>
      <c r="K148" s="257"/>
      <c r="L148" s="257"/>
      <c r="M148" s="257"/>
      <c r="N148" s="256"/>
      <c r="O148" s="652"/>
      <c r="P148" s="257"/>
      <c r="Q148" s="256"/>
      <c r="R148" s="256"/>
      <c r="S148" s="256"/>
      <c r="T148" s="327"/>
      <c r="U148" s="327"/>
      <c r="V148" s="327"/>
      <c r="W148" s="327"/>
      <c r="X148" s="327"/>
      <c r="Y148" s="327"/>
      <c r="Z148" s="327"/>
      <c r="AA148" s="655"/>
      <c r="AB148" s="766"/>
      <c r="AC148" s="766"/>
      <c r="AD148" s="766"/>
      <c r="AE148" s="630"/>
    </row>
    <row r="149" spans="1:31" s="73" customFormat="1">
      <c r="A149" s="638"/>
      <c r="B149" s="636"/>
      <c r="C149" s="633"/>
      <c r="D149" s="637"/>
      <c r="E149" s="637"/>
      <c r="F149" s="637"/>
      <c r="G149" s="637"/>
      <c r="H149" s="637"/>
      <c r="I149" s="633"/>
      <c r="J149" s="633"/>
      <c r="K149" s="637"/>
      <c r="L149" s="637"/>
      <c r="M149" s="637"/>
      <c r="N149" s="633"/>
      <c r="O149" s="633"/>
      <c r="P149" s="637"/>
      <c r="Q149" s="633"/>
      <c r="R149" s="633"/>
      <c r="S149" s="633"/>
      <c r="T149" s="645"/>
      <c r="U149" s="645"/>
      <c r="V149" s="645"/>
      <c r="W149" s="645"/>
      <c r="X149" s="645"/>
      <c r="Y149" s="645"/>
      <c r="Z149" s="645"/>
      <c r="AA149" s="653"/>
      <c r="AB149" s="765"/>
      <c r="AC149" s="765"/>
      <c r="AD149" s="765"/>
      <c r="AE149" s="630"/>
    </row>
    <row r="150" spans="1:31" s="73" customFormat="1">
      <c r="A150" s="244"/>
      <c r="B150" s="245"/>
      <c r="C150" s="246"/>
      <c r="D150" s="247"/>
      <c r="E150" s="247"/>
      <c r="F150" s="247"/>
      <c r="G150" s="247"/>
      <c r="H150" s="247"/>
      <c r="I150" s="246"/>
      <c r="J150" s="246"/>
      <c r="K150" s="247"/>
      <c r="L150" s="247"/>
      <c r="M150" s="247"/>
      <c r="N150" s="246"/>
      <c r="O150" s="246"/>
      <c r="P150" s="247"/>
      <c r="Q150" s="246"/>
      <c r="R150" s="246"/>
      <c r="S150" s="246"/>
      <c r="T150" s="326"/>
      <c r="U150" s="326"/>
      <c r="V150" s="326"/>
      <c r="W150" s="326"/>
      <c r="X150" s="326"/>
      <c r="Y150" s="326"/>
      <c r="Z150" s="326"/>
      <c r="AA150" s="654"/>
      <c r="AB150" s="765"/>
      <c r="AC150" s="765"/>
      <c r="AD150" s="765"/>
      <c r="AE150" s="630"/>
    </row>
    <row r="151" spans="1:31" s="73" customFormat="1">
      <c r="A151" s="244"/>
      <c r="B151" s="248"/>
      <c r="C151" s="256"/>
      <c r="D151" s="257"/>
      <c r="E151" s="257"/>
      <c r="F151" s="257"/>
      <c r="G151" s="663"/>
      <c r="H151" s="257"/>
      <c r="I151" s="256"/>
      <c r="J151" s="256"/>
      <c r="K151" s="663"/>
      <c r="L151" s="663"/>
      <c r="M151" s="257"/>
      <c r="N151" s="256"/>
      <c r="O151" s="652"/>
      <c r="P151" s="257"/>
      <c r="Q151" s="256"/>
      <c r="R151" s="256"/>
      <c r="S151" s="256"/>
      <c r="T151" s="327"/>
      <c r="U151" s="327"/>
      <c r="V151" s="327"/>
      <c r="W151" s="327"/>
      <c r="X151" s="327"/>
      <c r="Y151" s="327"/>
      <c r="Z151" s="327"/>
      <c r="AA151" s="655"/>
      <c r="AB151" s="766"/>
      <c r="AC151" s="766"/>
      <c r="AD151" s="766"/>
      <c r="AE151" s="630"/>
    </row>
    <row r="152" spans="1:31" s="73" customFormat="1">
      <c r="A152" s="244"/>
      <c r="B152" s="245"/>
      <c r="C152" s="246"/>
      <c r="D152" s="247"/>
      <c r="E152" s="247"/>
      <c r="F152" s="247"/>
      <c r="G152" s="247"/>
      <c r="H152" s="247"/>
      <c r="I152" s="246"/>
      <c r="J152" s="246"/>
      <c r="K152" s="247"/>
      <c r="L152" s="247"/>
      <c r="M152" s="247"/>
      <c r="N152" s="246"/>
      <c r="O152" s="328"/>
      <c r="P152" s="247"/>
      <c r="Q152" s="246"/>
      <c r="R152" s="246"/>
      <c r="S152" s="246"/>
      <c r="T152" s="326"/>
      <c r="U152" s="326"/>
      <c r="V152" s="326"/>
      <c r="W152" s="326"/>
      <c r="X152" s="326"/>
      <c r="Y152" s="326"/>
      <c r="Z152" s="326"/>
      <c r="AA152" s="656"/>
      <c r="AB152" s="765"/>
      <c r="AC152" s="765"/>
      <c r="AD152" s="765"/>
      <c r="AE152" s="630"/>
    </row>
    <row r="153" spans="1:31" s="73" customFormat="1">
      <c r="A153" s="244"/>
      <c r="B153" s="245"/>
      <c r="C153" s="246"/>
      <c r="D153" s="247"/>
      <c r="E153" s="247"/>
      <c r="F153" s="247"/>
      <c r="G153" s="247"/>
      <c r="H153" s="247"/>
      <c r="I153" s="246"/>
      <c r="J153" s="246"/>
      <c r="K153" s="247"/>
      <c r="L153" s="247"/>
      <c r="M153" s="247"/>
      <c r="N153" s="246"/>
      <c r="O153" s="328"/>
      <c r="P153" s="247"/>
      <c r="Q153" s="246"/>
      <c r="R153" s="246"/>
      <c r="S153" s="246"/>
      <c r="T153" s="326"/>
      <c r="U153" s="326"/>
      <c r="V153" s="326"/>
      <c r="W153" s="326"/>
      <c r="X153" s="326"/>
      <c r="Y153" s="326"/>
      <c r="Z153" s="326"/>
      <c r="AA153" s="656"/>
      <c r="AB153" s="765"/>
      <c r="AC153" s="765"/>
      <c r="AD153" s="765"/>
      <c r="AE153" s="630"/>
    </row>
    <row r="154" spans="1:31" s="73" customFormat="1">
      <c r="A154" s="244"/>
      <c r="B154" s="248"/>
      <c r="C154" s="256"/>
      <c r="D154" s="257"/>
      <c r="E154" s="257"/>
      <c r="F154" s="257"/>
      <c r="G154" s="257"/>
      <c r="H154" s="257"/>
      <c r="I154" s="256"/>
      <c r="J154" s="256"/>
      <c r="K154" s="257"/>
      <c r="L154" s="257"/>
      <c r="M154" s="257"/>
      <c r="N154" s="256"/>
      <c r="O154" s="652"/>
      <c r="P154" s="663"/>
      <c r="Q154" s="256"/>
      <c r="R154" s="256"/>
      <c r="S154" s="256"/>
      <c r="T154" s="327"/>
      <c r="U154" s="327"/>
      <c r="V154" s="327"/>
      <c r="W154" s="327"/>
      <c r="X154" s="327"/>
      <c r="Y154" s="327"/>
      <c r="Z154" s="327"/>
      <c r="AA154" s="655"/>
      <c r="AB154" s="766"/>
      <c r="AC154" s="766"/>
      <c r="AD154" s="766"/>
      <c r="AE154" s="630"/>
    </row>
    <row r="155" spans="1:31" s="73" customFormat="1">
      <c r="A155" s="244"/>
      <c r="B155" s="245"/>
      <c r="C155" s="246"/>
      <c r="D155" s="247"/>
      <c r="E155" s="247"/>
      <c r="F155" s="247"/>
      <c r="G155" s="247"/>
      <c r="H155" s="247"/>
      <c r="I155" s="246"/>
      <c r="J155" s="246"/>
      <c r="K155" s="247"/>
      <c r="L155" s="247"/>
      <c r="M155" s="247"/>
      <c r="N155" s="246"/>
      <c r="O155" s="328"/>
      <c r="P155" s="247"/>
      <c r="Q155" s="246"/>
      <c r="R155" s="246"/>
      <c r="S155" s="246"/>
      <c r="T155" s="326"/>
      <c r="U155" s="326"/>
      <c r="V155" s="326"/>
      <c r="W155" s="326"/>
      <c r="X155" s="326"/>
      <c r="Y155" s="326"/>
      <c r="Z155" s="326"/>
      <c r="AA155" s="656"/>
      <c r="AB155" s="765"/>
      <c r="AC155" s="765"/>
      <c r="AD155" s="765"/>
      <c r="AE155" s="630"/>
    </row>
    <row r="156" spans="1:31" s="73" customFormat="1">
      <c r="A156" s="244"/>
      <c r="B156" s="245"/>
      <c r="C156" s="246"/>
      <c r="D156" s="247"/>
      <c r="E156" s="247"/>
      <c r="F156" s="247"/>
      <c r="G156" s="247"/>
      <c r="H156" s="247"/>
      <c r="I156" s="246"/>
      <c r="J156" s="246"/>
      <c r="K156" s="247"/>
      <c r="L156" s="247"/>
      <c r="M156" s="247"/>
      <c r="N156" s="246"/>
      <c r="O156" s="328"/>
      <c r="P156" s="247"/>
      <c r="Q156" s="246"/>
      <c r="R156" s="246"/>
      <c r="S156" s="246"/>
      <c r="T156" s="326"/>
      <c r="U156" s="326"/>
      <c r="V156" s="326"/>
      <c r="W156" s="326"/>
      <c r="X156" s="326"/>
      <c r="Y156" s="326"/>
      <c r="Z156" s="326"/>
      <c r="AA156" s="656"/>
      <c r="AB156" s="765"/>
      <c r="AC156" s="765"/>
      <c r="AD156" s="765"/>
      <c r="AE156" s="630"/>
    </row>
    <row r="157" spans="1:31" s="73" customFormat="1">
      <c r="A157" s="244"/>
      <c r="B157" s="248"/>
      <c r="C157" s="665"/>
      <c r="D157" s="257"/>
      <c r="E157" s="257"/>
      <c r="F157" s="257"/>
      <c r="G157" s="257"/>
      <c r="H157" s="257"/>
      <c r="I157" s="256"/>
      <c r="J157" s="256"/>
      <c r="K157" s="257"/>
      <c r="L157" s="257"/>
      <c r="M157" s="257"/>
      <c r="N157" s="256"/>
      <c r="O157" s="652"/>
      <c r="P157" s="257"/>
      <c r="Q157" s="256"/>
      <c r="R157" s="256"/>
      <c r="S157" s="256"/>
      <c r="T157" s="327"/>
      <c r="U157" s="327"/>
      <c r="V157" s="327"/>
      <c r="W157" s="327"/>
      <c r="X157" s="327"/>
      <c r="Y157" s="327"/>
      <c r="Z157" s="327"/>
      <c r="AA157" s="655"/>
      <c r="AB157" s="766"/>
      <c r="AC157" s="766"/>
      <c r="AD157" s="766"/>
      <c r="AE157" s="630"/>
    </row>
    <row r="158" spans="1:31" s="73" customFormat="1">
      <c r="A158" s="244"/>
      <c r="B158" s="245"/>
      <c r="C158" s="246"/>
      <c r="D158" s="247"/>
      <c r="E158" s="247"/>
      <c r="F158" s="247"/>
      <c r="G158" s="247"/>
      <c r="H158" s="247"/>
      <c r="I158" s="246"/>
      <c r="J158" s="246"/>
      <c r="K158" s="247"/>
      <c r="L158" s="247"/>
      <c r="M158" s="247"/>
      <c r="N158" s="246"/>
      <c r="O158" s="328"/>
      <c r="P158" s="247"/>
      <c r="Q158" s="246"/>
      <c r="R158" s="246"/>
      <c r="S158" s="246"/>
      <c r="T158" s="326"/>
      <c r="U158" s="326"/>
      <c r="V158" s="326"/>
      <c r="W158" s="326"/>
      <c r="X158" s="326"/>
      <c r="Y158" s="326"/>
      <c r="Z158" s="326"/>
      <c r="AA158" s="656"/>
      <c r="AB158" s="765"/>
      <c r="AC158" s="765"/>
      <c r="AD158" s="765"/>
      <c r="AE158" s="630"/>
    </row>
    <row r="159" spans="1:31" s="73" customFormat="1">
      <c r="A159" s="244"/>
      <c r="B159" s="245"/>
      <c r="C159" s="246"/>
      <c r="D159" s="247"/>
      <c r="E159" s="247"/>
      <c r="F159" s="247"/>
      <c r="G159" s="247"/>
      <c r="H159" s="247"/>
      <c r="I159" s="246"/>
      <c r="J159" s="246"/>
      <c r="K159" s="247"/>
      <c r="L159" s="247"/>
      <c r="M159" s="247"/>
      <c r="N159" s="246"/>
      <c r="O159" s="328"/>
      <c r="P159" s="247"/>
      <c r="Q159" s="246"/>
      <c r="R159" s="246"/>
      <c r="S159" s="246"/>
      <c r="T159" s="326"/>
      <c r="U159" s="326"/>
      <c r="V159" s="326"/>
      <c r="W159" s="326"/>
      <c r="X159" s="326"/>
      <c r="Y159" s="326"/>
      <c r="Z159" s="326"/>
      <c r="AA159" s="656"/>
      <c r="AB159" s="765"/>
      <c r="AC159" s="765"/>
      <c r="AD159" s="765"/>
      <c r="AE159" s="630"/>
    </row>
    <row r="160" spans="1:31" s="73" customFormat="1">
      <c r="A160" s="249"/>
      <c r="B160" s="325"/>
      <c r="C160" s="256"/>
      <c r="D160" s="257"/>
      <c r="E160" s="257"/>
      <c r="F160" s="257"/>
      <c r="G160" s="257"/>
      <c r="H160" s="257"/>
      <c r="I160" s="256"/>
      <c r="J160" s="256"/>
      <c r="K160" s="257"/>
      <c r="L160" s="257"/>
      <c r="M160" s="257"/>
      <c r="N160" s="256"/>
      <c r="O160" s="652"/>
      <c r="P160" s="257"/>
      <c r="Q160" s="256"/>
      <c r="R160" s="256"/>
      <c r="S160" s="256"/>
      <c r="T160" s="327"/>
      <c r="U160" s="327"/>
      <c r="V160" s="327"/>
      <c r="W160" s="327"/>
      <c r="X160" s="327"/>
      <c r="Y160" s="327"/>
      <c r="Z160" s="327"/>
      <c r="AA160" s="655"/>
      <c r="AB160" s="766"/>
      <c r="AC160" s="766"/>
      <c r="AD160" s="766"/>
      <c r="AE160" s="630"/>
    </row>
    <row r="161" spans="1:33" s="73" customFormat="1">
      <c r="A161" s="638"/>
      <c r="B161" s="636"/>
      <c r="C161" s="633"/>
      <c r="D161" s="637"/>
      <c r="E161" s="637"/>
      <c r="F161" s="637"/>
      <c r="G161" s="637"/>
      <c r="H161" s="637"/>
      <c r="I161" s="633"/>
      <c r="J161" s="633"/>
      <c r="K161" s="637"/>
      <c r="L161" s="637"/>
      <c r="M161" s="637"/>
      <c r="N161" s="633"/>
      <c r="O161" s="633"/>
      <c r="P161" s="637"/>
      <c r="Q161" s="633"/>
      <c r="R161" s="633"/>
      <c r="S161" s="633"/>
      <c r="T161" s="645"/>
      <c r="U161" s="645"/>
      <c r="V161" s="645"/>
      <c r="W161" s="645"/>
      <c r="X161" s="645"/>
      <c r="Y161" s="645"/>
      <c r="Z161" s="645"/>
      <c r="AA161" s="653"/>
      <c r="AB161" s="765"/>
      <c r="AC161" s="765"/>
      <c r="AD161" s="765"/>
      <c r="AE161" s="630"/>
    </row>
    <row r="162" spans="1:33" s="73" customFormat="1">
      <c r="A162" s="244"/>
      <c r="B162" s="245"/>
      <c r="C162" s="246"/>
      <c r="D162" s="247"/>
      <c r="E162" s="247"/>
      <c r="F162" s="247"/>
      <c r="G162" s="247"/>
      <c r="H162" s="247"/>
      <c r="I162" s="246"/>
      <c r="J162" s="246"/>
      <c r="K162" s="247"/>
      <c r="L162" s="247"/>
      <c r="M162" s="247"/>
      <c r="N162" s="246"/>
      <c r="O162" s="246"/>
      <c r="P162" s="247"/>
      <c r="Q162" s="246"/>
      <c r="R162" s="246"/>
      <c r="S162" s="246"/>
      <c r="T162" s="326"/>
      <c r="U162" s="326"/>
      <c r="V162" s="326"/>
      <c r="W162" s="326"/>
      <c r="X162" s="326"/>
      <c r="Y162" s="326"/>
      <c r="Z162" s="326"/>
      <c r="AA162" s="654"/>
      <c r="AB162" s="765"/>
      <c r="AC162" s="765"/>
      <c r="AD162" s="765"/>
      <c r="AE162" s="630"/>
    </row>
    <row r="163" spans="1:33" s="73" customFormat="1">
      <c r="A163" s="244"/>
      <c r="B163" s="248"/>
      <c r="C163" s="256"/>
      <c r="D163" s="257"/>
      <c r="E163" s="257"/>
      <c r="F163" s="663"/>
      <c r="G163" s="257"/>
      <c r="H163" s="257"/>
      <c r="I163" s="256"/>
      <c r="J163" s="256"/>
      <c r="K163" s="257"/>
      <c r="L163" s="663"/>
      <c r="M163" s="257"/>
      <c r="N163" s="256"/>
      <c r="O163" s="652"/>
      <c r="P163" s="257"/>
      <c r="Q163" s="256"/>
      <c r="R163" s="256"/>
      <c r="S163" s="256"/>
      <c r="T163" s="327"/>
      <c r="U163" s="327"/>
      <c r="V163" s="327"/>
      <c r="W163" s="327"/>
      <c r="X163" s="327"/>
      <c r="Y163" s="327"/>
      <c r="Z163" s="327"/>
      <c r="AA163" s="655"/>
      <c r="AB163" s="766"/>
      <c r="AC163" s="766"/>
      <c r="AD163" s="766"/>
      <c r="AE163" s="630"/>
    </row>
    <row r="164" spans="1:33" s="73" customFormat="1">
      <c r="A164" s="244"/>
      <c r="B164" s="245"/>
      <c r="C164" s="246"/>
      <c r="D164" s="247"/>
      <c r="E164" s="247"/>
      <c r="F164" s="247"/>
      <c r="G164" s="247"/>
      <c r="H164" s="247"/>
      <c r="I164" s="246"/>
      <c r="J164" s="246"/>
      <c r="K164" s="247"/>
      <c r="L164" s="247"/>
      <c r="M164" s="247"/>
      <c r="N164" s="246"/>
      <c r="O164" s="328"/>
      <c r="P164" s="247"/>
      <c r="Q164" s="246"/>
      <c r="R164" s="246"/>
      <c r="S164" s="246"/>
      <c r="T164" s="326"/>
      <c r="U164" s="326"/>
      <c r="V164" s="326"/>
      <c r="W164" s="326"/>
      <c r="X164" s="326"/>
      <c r="Y164" s="326"/>
      <c r="Z164" s="326"/>
      <c r="AA164" s="656"/>
      <c r="AB164" s="765"/>
      <c r="AC164" s="765"/>
      <c r="AD164" s="765"/>
      <c r="AE164" s="630"/>
    </row>
    <row r="165" spans="1:33" s="73" customFormat="1">
      <c r="A165" s="244"/>
      <c r="B165" s="245"/>
      <c r="C165" s="246"/>
      <c r="D165" s="247"/>
      <c r="E165" s="247"/>
      <c r="F165" s="247"/>
      <c r="G165" s="247"/>
      <c r="H165" s="247"/>
      <c r="I165" s="246"/>
      <c r="J165" s="246"/>
      <c r="K165" s="247"/>
      <c r="L165" s="247"/>
      <c r="M165" s="247"/>
      <c r="N165" s="246"/>
      <c r="O165" s="328"/>
      <c r="P165" s="247"/>
      <c r="Q165" s="246"/>
      <c r="R165" s="246"/>
      <c r="S165" s="246"/>
      <c r="T165" s="326"/>
      <c r="U165" s="326"/>
      <c r="V165" s="326"/>
      <c r="W165" s="326"/>
      <c r="X165" s="326"/>
      <c r="Y165" s="326"/>
      <c r="Z165" s="326"/>
      <c r="AA165" s="656"/>
      <c r="AB165" s="765"/>
      <c r="AC165" s="765"/>
      <c r="AD165" s="765"/>
      <c r="AE165" s="630"/>
    </row>
    <row r="166" spans="1:33" s="73" customFormat="1">
      <c r="A166" s="244"/>
      <c r="B166" s="248"/>
      <c r="C166" s="256"/>
      <c r="D166" s="257"/>
      <c r="E166" s="257"/>
      <c r="F166" s="257"/>
      <c r="G166" s="257"/>
      <c r="H166" s="257"/>
      <c r="I166" s="256"/>
      <c r="J166" s="665"/>
      <c r="K166" s="663"/>
      <c r="L166" s="663"/>
      <c r="M166" s="257"/>
      <c r="N166" s="256"/>
      <c r="O166" s="652"/>
      <c r="P166" s="257"/>
      <c r="Q166" s="256"/>
      <c r="R166" s="256"/>
      <c r="S166" s="256"/>
      <c r="T166" s="327"/>
      <c r="U166" s="327"/>
      <c r="V166" s="327"/>
      <c r="W166" s="327"/>
      <c r="X166" s="327"/>
      <c r="Y166" s="327"/>
      <c r="Z166" s="327"/>
      <c r="AA166" s="655"/>
      <c r="AB166" s="766"/>
      <c r="AC166" s="766"/>
      <c r="AD166" s="766"/>
      <c r="AE166" s="630"/>
    </row>
    <row r="167" spans="1:33" s="73" customFormat="1">
      <c r="A167" s="244"/>
      <c r="B167" s="245"/>
      <c r="C167" s="246"/>
      <c r="D167" s="247"/>
      <c r="E167" s="247"/>
      <c r="F167" s="247"/>
      <c r="G167" s="247"/>
      <c r="H167" s="247"/>
      <c r="I167" s="246"/>
      <c r="J167" s="246"/>
      <c r="K167" s="247"/>
      <c r="L167" s="247"/>
      <c r="M167" s="247"/>
      <c r="N167" s="246"/>
      <c r="O167" s="328"/>
      <c r="P167" s="247"/>
      <c r="Q167" s="246"/>
      <c r="R167" s="246"/>
      <c r="S167" s="246"/>
      <c r="T167" s="326"/>
      <c r="U167" s="326"/>
      <c r="V167" s="326"/>
      <c r="W167" s="326"/>
      <c r="X167" s="326"/>
      <c r="Y167" s="326"/>
      <c r="Z167" s="326"/>
      <c r="AA167" s="656"/>
      <c r="AB167" s="765"/>
      <c r="AC167" s="765"/>
      <c r="AD167" s="765"/>
      <c r="AE167" s="630"/>
    </row>
    <row r="168" spans="1:33" s="73" customFormat="1">
      <c r="A168" s="244"/>
      <c r="B168" s="245"/>
      <c r="C168" s="246"/>
      <c r="D168" s="247"/>
      <c r="E168" s="247"/>
      <c r="F168" s="247"/>
      <c r="G168" s="247"/>
      <c r="H168" s="247"/>
      <c r="I168" s="246"/>
      <c r="J168" s="246"/>
      <c r="K168" s="247"/>
      <c r="L168" s="247"/>
      <c r="M168" s="247"/>
      <c r="N168" s="246"/>
      <c r="O168" s="328"/>
      <c r="P168" s="247"/>
      <c r="Q168" s="246"/>
      <c r="R168" s="246"/>
      <c r="S168" s="246"/>
      <c r="T168" s="326"/>
      <c r="U168" s="326"/>
      <c r="V168" s="326"/>
      <c r="W168" s="326"/>
      <c r="X168" s="326"/>
      <c r="Y168" s="326"/>
      <c r="Z168" s="326"/>
      <c r="AA168" s="656"/>
      <c r="AB168" s="765"/>
      <c r="AC168" s="765"/>
      <c r="AD168" s="765"/>
      <c r="AE168" s="630"/>
    </row>
    <row r="169" spans="1:33" s="73" customFormat="1">
      <c r="A169" s="244"/>
      <c r="B169" s="248"/>
      <c r="C169" s="256"/>
      <c r="D169" s="257"/>
      <c r="E169" s="257"/>
      <c r="F169" s="663"/>
      <c r="G169" s="257"/>
      <c r="H169" s="257"/>
      <c r="I169" s="256"/>
      <c r="J169" s="256"/>
      <c r="K169" s="257"/>
      <c r="L169" s="257"/>
      <c r="M169" s="257"/>
      <c r="N169" s="256"/>
      <c r="O169" s="652"/>
      <c r="P169" s="257"/>
      <c r="Q169" s="256"/>
      <c r="R169" s="256"/>
      <c r="S169" s="256"/>
      <c r="T169" s="327"/>
      <c r="U169" s="327"/>
      <c r="V169" s="327"/>
      <c r="W169" s="327"/>
      <c r="X169" s="327"/>
      <c r="Y169" s="327"/>
      <c r="Z169" s="327"/>
      <c r="AA169" s="655"/>
      <c r="AB169" s="766"/>
      <c r="AC169" s="766"/>
      <c r="AD169" s="766"/>
      <c r="AE169" s="630"/>
      <c r="AF169" s="216"/>
      <c r="AG169" s="323"/>
    </row>
    <row r="170" spans="1:33" s="73" customFormat="1">
      <c r="A170" s="244"/>
      <c r="B170" s="245"/>
      <c r="C170" s="246"/>
      <c r="D170" s="247"/>
      <c r="E170" s="247"/>
      <c r="F170" s="247"/>
      <c r="G170" s="247"/>
      <c r="H170" s="247"/>
      <c r="I170" s="246"/>
      <c r="J170" s="246"/>
      <c r="K170" s="247"/>
      <c r="L170" s="247"/>
      <c r="M170" s="247"/>
      <c r="N170" s="246"/>
      <c r="O170" s="328"/>
      <c r="P170" s="247"/>
      <c r="Q170" s="246"/>
      <c r="R170" s="246"/>
      <c r="S170" s="246"/>
      <c r="T170" s="326"/>
      <c r="U170" s="326"/>
      <c r="V170" s="326"/>
      <c r="W170" s="326"/>
      <c r="X170" s="326"/>
      <c r="Y170" s="326"/>
      <c r="Z170" s="326"/>
      <c r="AA170" s="656"/>
      <c r="AB170" s="765"/>
      <c r="AC170" s="765"/>
      <c r="AD170" s="765"/>
      <c r="AE170" s="630"/>
      <c r="AF170" s="780"/>
    </row>
    <row r="171" spans="1:33" s="73" customFormat="1">
      <c r="A171" s="244"/>
      <c r="B171" s="245"/>
      <c r="C171" s="246"/>
      <c r="D171" s="247"/>
      <c r="E171" s="247"/>
      <c r="F171" s="247"/>
      <c r="G171" s="247"/>
      <c r="H171" s="247"/>
      <c r="I171" s="246"/>
      <c r="J171" s="246"/>
      <c r="K171" s="247"/>
      <c r="L171" s="247"/>
      <c r="M171" s="247"/>
      <c r="N171" s="246"/>
      <c r="O171" s="328"/>
      <c r="P171" s="247"/>
      <c r="Q171" s="246"/>
      <c r="R171" s="246"/>
      <c r="S171" s="246"/>
      <c r="T171" s="326"/>
      <c r="U171" s="326"/>
      <c r="V171" s="326"/>
      <c r="W171" s="326"/>
      <c r="X171" s="326"/>
      <c r="Y171" s="326"/>
      <c r="Z171" s="326"/>
      <c r="AA171" s="656"/>
      <c r="AB171" s="765"/>
      <c r="AC171" s="765"/>
      <c r="AD171" s="765"/>
      <c r="AE171" s="630"/>
      <c r="AF171" s="780"/>
    </row>
    <row r="172" spans="1:33" s="73" customFormat="1">
      <c r="A172" s="249"/>
      <c r="B172" s="325"/>
      <c r="C172" s="256"/>
      <c r="D172" s="257"/>
      <c r="E172" s="257"/>
      <c r="F172" s="257"/>
      <c r="G172" s="257"/>
      <c r="H172" s="257"/>
      <c r="I172" s="256"/>
      <c r="J172" s="256"/>
      <c r="K172" s="257"/>
      <c r="L172" s="257"/>
      <c r="M172" s="257"/>
      <c r="N172" s="256"/>
      <c r="O172" s="652"/>
      <c r="P172" s="257"/>
      <c r="Q172" s="256"/>
      <c r="R172" s="256"/>
      <c r="S172" s="256"/>
      <c r="T172" s="327"/>
      <c r="U172" s="327"/>
      <c r="V172" s="327"/>
      <c r="W172" s="327"/>
      <c r="X172" s="327"/>
      <c r="Y172" s="327"/>
      <c r="Z172" s="327"/>
      <c r="AA172" s="655"/>
      <c r="AB172" s="766"/>
      <c r="AC172" s="766"/>
      <c r="AD172" s="766"/>
      <c r="AE172" s="630"/>
      <c r="AF172" s="779"/>
      <c r="AG172" s="216"/>
    </row>
    <row r="173" spans="1:33" s="73" customFormat="1">
      <c r="A173" s="638"/>
      <c r="B173" s="636"/>
      <c r="C173" s="633"/>
      <c r="D173" s="637"/>
      <c r="E173" s="637"/>
      <c r="F173" s="637"/>
      <c r="G173" s="637"/>
      <c r="H173" s="637"/>
      <c r="I173" s="633"/>
      <c r="J173" s="633"/>
      <c r="K173" s="637"/>
      <c r="L173" s="637"/>
      <c r="M173" s="637"/>
      <c r="N173" s="633"/>
      <c r="O173" s="633"/>
      <c r="P173" s="637"/>
      <c r="Q173" s="633"/>
      <c r="R173" s="633"/>
      <c r="S173" s="633"/>
      <c r="T173" s="645"/>
      <c r="U173" s="645"/>
      <c r="V173" s="645"/>
      <c r="W173" s="645"/>
      <c r="X173" s="645"/>
      <c r="Y173" s="645"/>
      <c r="Z173" s="645"/>
      <c r="AA173" s="653"/>
      <c r="AB173" s="765"/>
      <c r="AC173" s="765"/>
      <c r="AD173" s="765"/>
      <c r="AE173" s="630"/>
      <c r="AF173" s="780"/>
    </row>
    <row r="174" spans="1:33" s="73" customFormat="1">
      <c r="A174" s="244"/>
      <c r="B174" s="245"/>
      <c r="C174" s="246"/>
      <c r="D174" s="247"/>
      <c r="E174" s="247"/>
      <c r="F174" s="247"/>
      <c r="G174" s="247"/>
      <c r="H174" s="247"/>
      <c r="I174" s="246"/>
      <c r="J174" s="246"/>
      <c r="K174" s="247"/>
      <c r="L174" s="247"/>
      <c r="M174" s="247"/>
      <c r="N174" s="246"/>
      <c r="O174" s="246"/>
      <c r="P174" s="247"/>
      <c r="Q174" s="246"/>
      <c r="R174" s="246"/>
      <c r="S174" s="246"/>
      <c r="T174" s="326"/>
      <c r="U174" s="326"/>
      <c r="V174" s="326"/>
      <c r="W174" s="326"/>
      <c r="X174" s="326"/>
      <c r="Y174" s="326"/>
      <c r="Z174" s="326"/>
      <c r="AA174" s="654"/>
      <c r="AB174" s="765"/>
      <c r="AC174" s="765"/>
      <c r="AD174" s="765"/>
      <c r="AE174" s="630"/>
      <c r="AF174" s="781"/>
      <c r="AG174" s="83"/>
    </row>
    <row r="175" spans="1:33" s="73" customFormat="1">
      <c r="A175" s="244"/>
      <c r="B175" s="248"/>
      <c r="C175" s="256"/>
      <c r="D175" s="257"/>
      <c r="E175" s="257"/>
      <c r="F175" s="257"/>
      <c r="G175" s="257"/>
      <c r="H175" s="257"/>
      <c r="I175" s="256"/>
      <c r="J175" s="256"/>
      <c r="K175" s="663"/>
      <c r="L175" s="257"/>
      <c r="M175" s="257"/>
      <c r="N175" s="256"/>
      <c r="O175" s="652"/>
      <c r="P175" s="257"/>
      <c r="Q175" s="256"/>
      <c r="R175" s="256"/>
      <c r="S175" s="256"/>
      <c r="T175" s="327"/>
      <c r="U175" s="327"/>
      <c r="V175" s="327"/>
      <c r="W175" s="327"/>
      <c r="X175" s="327"/>
      <c r="Y175" s="327"/>
      <c r="Z175" s="327"/>
      <c r="AA175" s="655"/>
      <c r="AB175" s="766"/>
      <c r="AC175" s="766"/>
      <c r="AD175" s="766"/>
      <c r="AE175" s="630"/>
      <c r="AF175" s="780"/>
    </row>
    <row r="176" spans="1:33" s="73" customFormat="1">
      <c r="A176" s="244"/>
      <c r="B176" s="245"/>
      <c r="C176" s="246"/>
      <c r="D176" s="247"/>
      <c r="E176" s="247"/>
      <c r="F176" s="247"/>
      <c r="G176" s="247"/>
      <c r="H176" s="247"/>
      <c r="I176" s="246"/>
      <c r="J176" s="246"/>
      <c r="K176" s="247"/>
      <c r="L176" s="247"/>
      <c r="M176" s="247"/>
      <c r="N176" s="246"/>
      <c r="O176" s="328"/>
      <c r="P176" s="247"/>
      <c r="Q176" s="246"/>
      <c r="R176" s="246"/>
      <c r="S176" s="246"/>
      <c r="T176" s="326"/>
      <c r="U176" s="326"/>
      <c r="V176" s="326"/>
      <c r="W176" s="326"/>
      <c r="X176" s="326"/>
      <c r="Y176" s="326"/>
      <c r="Z176" s="326"/>
      <c r="AA176" s="656"/>
      <c r="AB176" s="765"/>
      <c r="AC176" s="765"/>
      <c r="AD176" s="765"/>
      <c r="AE176" s="630"/>
      <c r="AF176" s="780"/>
    </row>
    <row r="177" spans="1:33" s="73" customFormat="1">
      <c r="A177" s="244"/>
      <c r="B177" s="245"/>
      <c r="C177" s="246"/>
      <c r="D177" s="247"/>
      <c r="E177" s="247"/>
      <c r="F177" s="247"/>
      <c r="G177" s="247"/>
      <c r="H177" s="247"/>
      <c r="I177" s="246"/>
      <c r="J177" s="246"/>
      <c r="K177" s="247"/>
      <c r="L177" s="247"/>
      <c r="M177" s="247"/>
      <c r="N177" s="246"/>
      <c r="O177" s="328"/>
      <c r="P177" s="247"/>
      <c r="Q177" s="246"/>
      <c r="R177" s="246"/>
      <c r="S177" s="246"/>
      <c r="T177" s="326"/>
      <c r="U177" s="326"/>
      <c r="V177" s="326"/>
      <c r="W177" s="326"/>
      <c r="X177" s="326"/>
      <c r="Y177" s="326"/>
      <c r="Z177" s="326"/>
      <c r="AA177" s="656"/>
      <c r="AB177" s="765"/>
      <c r="AC177" s="765"/>
      <c r="AD177" s="765"/>
      <c r="AE177" s="630"/>
      <c r="AF177" s="780"/>
    </row>
    <row r="178" spans="1:33" s="73" customFormat="1">
      <c r="A178" s="244"/>
      <c r="B178" s="248"/>
      <c r="C178" s="256"/>
      <c r="D178" s="257"/>
      <c r="E178" s="257"/>
      <c r="F178" s="257"/>
      <c r="G178" s="257"/>
      <c r="H178" s="257"/>
      <c r="I178" s="256"/>
      <c r="J178" s="256"/>
      <c r="K178" s="257"/>
      <c r="L178" s="257"/>
      <c r="M178" s="257"/>
      <c r="N178" s="256"/>
      <c r="O178" s="652"/>
      <c r="P178" s="257"/>
      <c r="Q178" s="256"/>
      <c r="R178" s="256"/>
      <c r="S178" s="256"/>
      <c r="T178" s="327"/>
      <c r="U178" s="327"/>
      <c r="V178" s="327"/>
      <c r="W178" s="327"/>
      <c r="X178" s="327"/>
      <c r="Y178" s="327"/>
      <c r="Z178" s="327"/>
      <c r="AA178" s="655"/>
      <c r="AB178" s="766"/>
      <c r="AC178" s="766"/>
      <c r="AD178" s="766"/>
      <c r="AE178" s="630"/>
      <c r="AF178" s="780"/>
    </row>
    <row r="179" spans="1:33" s="73" customFormat="1">
      <c r="A179" s="244"/>
      <c r="B179" s="245"/>
      <c r="C179" s="246"/>
      <c r="D179" s="247"/>
      <c r="E179" s="247"/>
      <c r="F179" s="247"/>
      <c r="G179" s="247"/>
      <c r="H179" s="247"/>
      <c r="I179" s="246"/>
      <c r="J179" s="246"/>
      <c r="K179" s="247"/>
      <c r="L179" s="247"/>
      <c r="M179" s="247"/>
      <c r="N179" s="246"/>
      <c r="O179" s="328"/>
      <c r="P179" s="247"/>
      <c r="Q179" s="246"/>
      <c r="R179" s="246"/>
      <c r="S179" s="246"/>
      <c r="T179" s="326"/>
      <c r="U179" s="326"/>
      <c r="V179" s="326"/>
      <c r="W179" s="326"/>
      <c r="X179" s="326"/>
      <c r="Y179" s="326"/>
      <c r="Z179" s="326"/>
      <c r="AA179" s="656"/>
      <c r="AB179" s="765"/>
      <c r="AC179" s="765"/>
      <c r="AD179" s="765"/>
      <c r="AE179" s="630"/>
      <c r="AF179" s="780"/>
    </row>
    <row r="180" spans="1:33" s="73" customFormat="1">
      <c r="A180" s="244"/>
      <c r="B180" s="245"/>
      <c r="C180" s="246"/>
      <c r="D180" s="247"/>
      <c r="E180" s="247"/>
      <c r="F180" s="247"/>
      <c r="G180" s="247"/>
      <c r="H180" s="247"/>
      <c r="I180" s="246"/>
      <c r="J180" s="246"/>
      <c r="K180" s="247"/>
      <c r="L180" s="247"/>
      <c r="M180" s="247"/>
      <c r="N180" s="246"/>
      <c r="O180" s="328"/>
      <c r="P180" s="247"/>
      <c r="Q180" s="246"/>
      <c r="R180" s="246"/>
      <c r="S180" s="246"/>
      <c r="T180" s="326"/>
      <c r="U180" s="326"/>
      <c r="V180" s="326"/>
      <c r="W180" s="326"/>
      <c r="X180" s="326"/>
      <c r="Y180" s="326"/>
      <c r="Z180" s="326"/>
      <c r="AA180" s="656"/>
      <c r="AB180" s="765"/>
      <c r="AC180" s="765"/>
      <c r="AD180" s="765"/>
      <c r="AE180" s="630"/>
      <c r="AF180" s="780"/>
    </row>
    <row r="181" spans="1:33" s="73" customFormat="1">
      <c r="A181" s="244"/>
      <c r="B181" s="248"/>
      <c r="C181" s="256"/>
      <c r="D181" s="663"/>
      <c r="E181" s="257"/>
      <c r="F181" s="257"/>
      <c r="G181" s="257"/>
      <c r="H181" s="257"/>
      <c r="I181" s="256"/>
      <c r="J181" s="256"/>
      <c r="K181" s="257"/>
      <c r="L181" s="257"/>
      <c r="M181" s="257"/>
      <c r="N181" s="256"/>
      <c r="O181" s="652"/>
      <c r="P181" s="257"/>
      <c r="Q181" s="256"/>
      <c r="R181" s="256"/>
      <c r="S181" s="256"/>
      <c r="T181" s="327"/>
      <c r="U181" s="327"/>
      <c r="V181" s="327"/>
      <c r="W181" s="327"/>
      <c r="X181" s="327"/>
      <c r="Y181" s="327"/>
      <c r="Z181" s="327"/>
      <c r="AA181" s="655"/>
      <c r="AB181" s="766"/>
      <c r="AC181" s="766"/>
      <c r="AD181" s="766"/>
      <c r="AE181" s="630"/>
      <c r="AF181" s="779"/>
      <c r="AG181" s="216"/>
    </row>
    <row r="182" spans="1:33" s="73" customFormat="1">
      <c r="A182" s="244"/>
      <c r="B182" s="245"/>
      <c r="C182" s="246"/>
      <c r="D182" s="247"/>
      <c r="E182" s="247"/>
      <c r="F182" s="247"/>
      <c r="G182" s="247"/>
      <c r="H182" s="247"/>
      <c r="I182" s="246"/>
      <c r="J182" s="246"/>
      <c r="K182" s="247"/>
      <c r="L182" s="247"/>
      <c r="M182" s="247"/>
      <c r="N182" s="246"/>
      <c r="O182" s="328"/>
      <c r="P182" s="247"/>
      <c r="Q182" s="246"/>
      <c r="R182" s="246"/>
      <c r="S182" s="246"/>
      <c r="T182" s="326"/>
      <c r="U182" s="326"/>
      <c r="V182" s="326"/>
      <c r="W182" s="326"/>
      <c r="X182" s="326"/>
      <c r="Y182" s="326"/>
      <c r="Z182" s="326"/>
      <c r="AA182" s="656"/>
      <c r="AB182" s="765"/>
      <c r="AC182" s="765"/>
      <c r="AD182" s="765"/>
      <c r="AE182" s="630"/>
      <c r="AF182" s="780"/>
    </row>
    <row r="183" spans="1:33" s="73" customFormat="1">
      <c r="A183" s="244"/>
      <c r="B183" s="245"/>
      <c r="C183" s="246"/>
      <c r="D183" s="247"/>
      <c r="E183" s="247"/>
      <c r="F183" s="247"/>
      <c r="G183" s="247"/>
      <c r="H183" s="247"/>
      <c r="I183" s="246"/>
      <c r="J183" s="246"/>
      <c r="K183" s="247"/>
      <c r="L183" s="247"/>
      <c r="M183" s="247"/>
      <c r="N183" s="246"/>
      <c r="O183" s="328"/>
      <c r="P183" s="247"/>
      <c r="Q183" s="246"/>
      <c r="R183" s="246"/>
      <c r="S183" s="246"/>
      <c r="T183" s="326"/>
      <c r="U183" s="326"/>
      <c r="V183" s="326"/>
      <c r="W183" s="326"/>
      <c r="X183" s="326"/>
      <c r="Y183" s="326"/>
      <c r="Z183" s="326"/>
      <c r="AA183" s="656"/>
      <c r="AB183" s="765"/>
      <c r="AC183" s="765"/>
      <c r="AD183" s="765"/>
      <c r="AE183" s="630"/>
      <c r="AF183" s="780"/>
    </row>
    <row r="184" spans="1:33" s="73" customFormat="1">
      <c r="A184" s="249"/>
      <c r="B184" s="325"/>
      <c r="C184" s="256"/>
      <c r="D184" s="257"/>
      <c r="E184" s="257"/>
      <c r="F184" s="257"/>
      <c r="G184" s="257"/>
      <c r="H184" s="257"/>
      <c r="I184" s="256"/>
      <c r="J184" s="256"/>
      <c r="K184" s="257"/>
      <c r="L184" s="257"/>
      <c r="M184" s="257"/>
      <c r="N184" s="256"/>
      <c r="O184" s="652"/>
      <c r="P184" s="257"/>
      <c r="Q184" s="256"/>
      <c r="R184" s="256"/>
      <c r="S184" s="256"/>
      <c r="T184" s="327"/>
      <c r="U184" s="327"/>
      <c r="V184" s="327"/>
      <c r="W184" s="327"/>
      <c r="X184" s="327"/>
      <c r="Y184" s="327"/>
      <c r="Z184" s="327"/>
      <c r="AA184" s="655"/>
      <c r="AB184" s="766"/>
      <c r="AC184" s="766"/>
      <c r="AD184" s="766"/>
      <c r="AE184" s="630"/>
      <c r="AF184" s="780"/>
    </row>
    <row r="185" spans="1:33" s="73" customFormat="1">
      <c r="A185" s="638"/>
      <c r="B185" s="636"/>
      <c r="C185" s="633"/>
      <c r="D185" s="637"/>
      <c r="E185" s="637"/>
      <c r="F185" s="637"/>
      <c r="G185" s="637"/>
      <c r="H185" s="637"/>
      <c r="I185" s="633"/>
      <c r="J185" s="633"/>
      <c r="K185" s="637"/>
      <c r="L185" s="637"/>
      <c r="M185" s="637"/>
      <c r="N185" s="633"/>
      <c r="O185" s="633"/>
      <c r="P185" s="637"/>
      <c r="Q185" s="633"/>
      <c r="R185" s="633"/>
      <c r="S185" s="633"/>
      <c r="T185" s="645"/>
      <c r="U185" s="645"/>
      <c r="V185" s="645"/>
      <c r="W185" s="645"/>
      <c r="X185" s="645"/>
      <c r="Y185" s="645"/>
      <c r="Z185" s="645"/>
      <c r="AA185" s="653"/>
      <c r="AB185" s="765"/>
      <c r="AC185" s="765"/>
      <c r="AD185" s="765"/>
      <c r="AE185" s="630"/>
      <c r="AF185" s="780"/>
    </row>
    <row r="186" spans="1:33" s="73" customFormat="1">
      <c r="A186" s="244"/>
      <c r="B186" s="245"/>
      <c r="C186" s="246"/>
      <c r="D186" s="247"/>
      <c r="E186" s="247"/>
      <c r="F186" s="247"/>
      <c r="G186" s="247"/>
      <c r="H186" s="247"/>
      <c r="I186" s="246"/>
      <c r="J186" s="246"/>
      <c r="K186" s="247"/>
      <c r="L186" s="247"/>
      <c r="M186" s="247"/>
      <c r="N186" s="246"/>
      <c r="O186" s="246"/>
      <c r="P186" s="247"/>
      <c r="Q186" s="246"/>
      <c r="R186" s="246"/>
      <c r="S186" s="246"/>
      <c r="T186" s="326"/>
      <c r="U186" s="326"/>
      <c r="V186" s="326"/>
      <c r="W186" s="326"/>
      <c r="X186" s="326"/>
      <c r="Y186" s="326"/>
      <c r="Z186" s="326"/>
      <c r="AA186" s="654"/>
      <c r="AB186" s="765"/>
      <c r="AC186" s="765"/>
      <c r="AD186" s="765"/>
      <c r="AE186" s="630"/>
      <c r="AF186" s="780"/>
    </row>
    <row r="187" spans="1:33" s="73" customFormat="1">
      <c r="A187" s="244"/>
      <c r="B187" s="248"/>
      <c r="C187" s="256"/>
      <c r="D187" s="257"/>
      <c r="E187" s="257"/>
      <c r="F187" s="257"/>
      <c r="G187" s="257"/>
      <c r="H187" s="257"/>
      <c r="I187" s="256"/>
      <c r="J187" s="256"/>
      <c r="K187" s="257"/>
      <c r="L187" s="663"/>
      <c r="M187" s="663"/>
      <c r="N187" s="256"/>
      <c r="O187" s="652"/>
      <c r="P187" s="257"/>
      <c r="Q187" s="256"/>
      <c r="R187" s="256"/>
      <c r="S187" s="256"/>
      <c r="T187" s="327"/>
      <c r="U187" s="327"/>
      <c r="V187" s="327"/>
      <c r="W187" s="327"/>
      <c r="X187" s="327"/>
      <c r="Y187" s="327"/>
      <c r="Z187" s="327"/>
      <c r="AA187" s="655"/>
      <c r="AB187" s="766"/>
      <c r="AC187" s="766"/>
      <c r="AD187" s="766"/>
      <c r="AE187" s="630"/>
      <c r="AF187" s="780"/>
    </row>
    <row r="188" spans="1:33" s="73" customFormat="1">
      <c r="A188" s="244"/>
      <c r="B188" s="245"/>
      <c r="C188" s="246"/>
      <c r="D188" s="247"/>
      <c r="E188" s="247"/>
      <c r="F188" s="247"/>
      <c r="G188" s="247"/>
      <c r="H188" s="247"/>
      <c r="I188" s="246"/>
      <c r="J188" s="246"/>
      <c r="K188" s="247"/>
      <c r="L188" s="247"/>
      <c r="M188" s="247"/>
      <c r="N188" s="246"/>
      <c r="O188" s="328"/>
      <c r="P188" s="247"/>
      <c r="Q188" s="246"/>
      <c r="R188" s="246"/>
      <c r="S188" s="246"/>
      <c r="T188" s="326"/>
      <c r="U188" s="326"/>
      <c r="V188" s="326"/>
      <c r="W188" s="326"/>
      <c r="X188" s="326"/>
      <c r="Y188" s="326"/>
      <c r="Z188" s="326"/>
      <c r="AA188" s="656"/>
      <c r="AB188" s="765"/>
      <c r="AC188" s="765"/>
      <c r="AD188" s="765"/>
      <c r="AE188" s="630"/>
      <c r="AF188" s="780"/>
    </row>
    <row r="189" spans="1:33" s="73" customFormat="1">
      <c r="A189" s="244"/>
      <c r="B189" s="245"/>
      <c r="C189" s="246"/>
      <c r="D189" s="247"/>
      <c r="E189" s="247"/>
      <c r="F189" s="247"/>
      <c r="G189" s="247"/>
      <c r="H189" s="247"/>
      <c r="I189" s="246"/>
      <c r="J189" s="246"/>
      <c r="K189" s="247"/>
      <c r="L189" s="247"/>
      <c r="M189" s="247"/>
      <c r="N189" s="246"/>
      <c r="O189" s="328"/>
      <c r="P189" s="247"/>
      <c r="Q189" s="246"/>
      <c r="R189" s="246"/>
      <c r="S189" s="246"/>
      <c r="T189" s="326"/>
      <c r="U189" s="326"/>
      <c r="V189" s="326"/>
      <c r="W189" s="326"/>
      <c r="X189" s="326"/>
      <c r="Y189" s="326"/>
      <c r="Z189" s="326"/>
      <c r="AA189" s="656"/>
      <c r="AB189" s="765"/>
      <c r="AC189" s="765"/>
      <c r="AD189" s="765"/>
      <c r="AE189" s="630"/>
      <c r="AF189" s="780"/>
    </row>
    <row r="190" spans="1:33" s="73" customFormat="1">
      <c r="A190" s="244"/>
      <c r="B190" s="248"/>
      <c r="C190" s="256"/>
      <c r="D190" s="257"/>
      <c r="E190" s="257"/>
      <c r="F190" s="257"/>
      <c r="G190" s="257"/>
      <c r="H190" s="257"/>
      <c r="I190" s="256"/>
      <c r="J190" s="256"/>
      <c r="K190" s="257"/>
      <c r="L190" s="257"/>
      <c r="M190" s="257"/>
      <c r="N190" s="256"/>
      <c r="O190" s="652"/>
      <c r="P190" s="257"/>
      <c r="Q190" s="256"/>
      <c r="R190" s="256"/>
      <c r="S190" s="256"/>
      <c r="T190" s="327"/>
      <c r="U190" s="327"/>
      <c r="V190" s="327"/>
      <c r="W190" s="327"/>
      <c r="X190" s="327"/>
      <c r="Y190" s="327"/>
      <c r="Z190" s="327"/>
      <c r="AA190" s="655"/>
      <c r="AB190" s="766"/>
      <c r="AC190" s="766"/>
      <c r="AD190" s="766"/>
      <c r="AE190" s="630"/>
      <c r="AF190" s="780"/>
    </row>
    <row r="191" spans="1:33" s="73" customFormat="1">
      <c r="A191" s="244"/>
      <c r="B191" s="245"/>
      <c r="C191" s="246"/>
      <c r="D191" s="247"/>
      <c r="E191" s="247"/>
      <c r="F191" s="247"/>
      <c r="G191" s="247"/>
      <c r="H191" s="247"/>
      <c r="I191" s="246"/>
      <c r="J191" s="246"/>
      <c r="K191" s="247"/>
      <c r="L191" s="247"/>
      <c r="M191" s="247"/>
      <c r="N191" s="246"/>
      <c r="O191" s="328"/>
      <c r="P191" s="247"/>
      <c r="Q191" s="246"/>
      <c r="R191" s="246"/>
      <c r="S191" s="246"/>
      <c r="T191" s="326"/>
      <c r="U191" s="326"/>
      <c r="V191" s="326"/>
      <c r="W191" s="326"/>
      <c r="X191" s="326"/>
      <c r="Y191" s="326"/>
      <c r="Z191" s="326"/>
      <c r="AA191" s="656"/>
      <c r="AB191" s="765"/>
      <c r="AC191" s="765"/>
      <c r="AD191" s="765"/>
      <c r="AE191" s="630"/>
      <c r="AF191" s="780"/>
    </row>
    <row r="192" spans="1:33" s="73" customFormat="1">
      <c r="A192" s="244"/>
      <c r="B192" s="245"/>
      <c r="C192" s="246"/>
      <c r="D192" s="247"/>
      <c r="E192" s="247"/>
      <c r="F192" s="247"/>
      <c r="G192" s="247"/>
      <c r="H192" s="247"/>
      <c r="I192" s="246"/>
      <c r="J192" s="246"/>
      <c r="K192" s="247"/>
      <c r="L192" s="247"/>
      <c r="M192" s="247"/>
      <c r="N192" s="246"/>
      <c r="O192" s="328"/>
      <c r="P192" s="247"/>
      <c r="Q192" s="246"/>
      <c r="R192" s="246"/>
      <c r="S192" s="246"/>
      <c r="T192" s="326"/>
      <c r="U192" s="326"/>
      <c r="V192" s="326"/>
      <c r="W192" s="326"/>
      <c r="X192" s="326"/>
      <c r="Y192" s="326"/>
      <c r="Z192" s="326"/>
      <c r="AA192" s="656"/>
      <c r="AB192" s="765"/>
      <c r="AC192" s="765"/>
      <c r="AD192" s="765"/>
      <c r="AE192" s="630"/>
      <c r="AF192" s="780"/>
    </row>
    <row r="193" spans="1:38" s="73" customFormat="1">
      <c r="A193" s="244"/>
      <c r="B193" s="248"/>
      <c r="C193" s="256"/>
      <c r="D193" s="257"/>
      <c r="E193" s="257"/>
      <c r="F193" s="257"/>
      <c r="G193" s="257"/>
      <c r="H193" s="257"/>
      <c r="I193" s="256"/>
      <c r="J193" s="256"/>
      <c r="K193" s="257"/>
      <c r="L193" s="257"/>
      <c r="M193" s="257"/>
      <c r="N193" s="256"/>
      <c r="O193" s="652"/>
      <c r="P193" s="257"/>
      <c r="Q193" s="256"/>
      <c r="R193" s="256"/>
      <c r="S193" s="256"/>
      <c r="T193" s="327"/>
      <c r="U193" s="327"/>
      <c r="V193" s="327"/>
      <c r="W193" s="327"/>
      <c r="X193" s="327"/>
      <c r="Y193" s="327"/>
      <c r="Z193" s="327"/>
      <c r="AA193" s="655"/>
      <c r="AB193" s="766"/>
      <c r="AC193" s="766"/>
      <c r="AD193" s="766"/>
      <c r="AE193" s="630"/>
      <c r="AF193" s="780"/>
    </row>
    <row r="194" spans="1:38" s="73" customFormat="1">
      <c r="A194" s="244"/>
      <c r="B194" s="245"/>
      <c r="C194" s="246"/>
      <c r="D194" s="247"/>
      <c r="E194" s="247"/>
      <c r="F194" s="247"/>
      <c r="G194" s="247"/>
      <c r="H194" s="247"/>
      <c r="I194" s="246"/>
      <c r="J194" s="246"/>
      <c r="K194" s="247"/>
      <c r="L194" s="247"/>
      <c r="M194" s="247"/>
      <c r="N194" s="246"/>
      <c r="O194" s="328"/>
      <c r="P194" s="247"/>
      <c r="Q194" s="246"/>
      <c r="R194" s="246"/>
      <c r="S194" s="246"/>
      <c r="T194" s="326"/>
      <c r="U194" s="326"/>
      <c r="V194" s="326"/>
      <c r="W194" s="326"/>
      <c r="X194" s="326"/>
      <c r="Y194" s="326"/>
      <c r="Z194" s="326"/>
      <c r="AA194" s="656"/>
      <c r="AB194" s="765"/>
      <c r="AC194" s="765"/>
      <c r="AD194" s="765"/>
      <c r="AE194" s="630"/>
      <c r="AF194" s="780"/>
    </row>
    <row r="195" spans="1:38" s="73" customFormat="1">
      <c r="A195" s="244"/>
      <c r="B195" s="245"/>
      <c r="C195" s="246"/>
      <c r="D195" s="247"/>
      <c r="E195" s="247"/>
      <c r="F195" s="247"/>
      <c r="G195" s="247"/>
      <c r="H195" s="247"/>
      <c r="I195" s="246"/>
      <c r="J195" s="246"/>
      <c r="K195" s="247"/>
      <c r="L195" s="247"/>
      <c r="M195" s="247"/>
      <c r="N195" s="246"/>
      <c r="O195" s="328"/>
      <c r="P195" s="247"/>
      <c r="Q195" s="246"/>
      <c r="R195" s="246"/>
      <c r="S195" s="246"/>
      <c r="T195" s="326"/>
      <c r="U195" s="326"/>
      <c r="V195" s="326"/>
      <c r="W195" s="326"/>
      <c r="X195" s="326"/>
      <c r="Y195" s="326"/>
      <c r="Z195" s="326"/>
      <c r="AA195" s="656"/>
      <c r="AB195" s="765"/>
      <c r="AC195" s="765"/>
      <c r="AD195" s="765"/>
      <c r="AE195" s="630"/>
      <c r="AF195" s="780"/>
    </row>
    <row r="196" spans="1:38" s="73" customFormat="1">
      <c r="A196" s="249"/>
      <c r="B196" s="325"/>
      <c r="C196" s="256"/>
      <c r="D196" s="257"/>
      <c r="E196" s="257"/>
      <c r="F196" s="257"/>
      <c r="G196" s="257"/>
      <c r="H196" s="257"/>
      <c r="I196" s="256"/>
      <c r="J196" s="256"/>
      <c r="K196" s="257"/>
      <c r="L196" s="257"/>
      <c r="M196" s="257"/>
      <c r="N196" s="256"/>
      <c r="O196" s="652"/>
      <c r="P196" s="257"/>
      <c r="Q196" s="256"/>
      <c r="R196" s="256"/>
      <c r="S196" s="256"/>
      <c r="T196" s="327"/>
      <c r="U196" s="327"/>
      <c r="V196" s="327"/>
      <c r="W196" s="327"/>
      <c r="X196" s="327"/>
      <c r="Y196" s="327"/>
      <c r="Z196" s="327"/>
      <c r="AA196" s="655"/>
      <c r="AB196" s="766"/>
      <c r="AC196" s="766"/>
      <c r="AD196" s="766"/>
      <c r="AE196" s="630"/>
      <c r="AF196" s="780"/>
    </row>
    <row r="197" spans="1:38">
      <c r="A197" s="638"/>
      <c r="B197" s="636"/>
      <c r="C197" s="633"/>
      <c r="D197" s="637"/>
      <c r="E197" s="637"/>
      <c r="F197" s="637"/>
      <c r="G197" s="637"/>
      <c r="H197" s="637"/>
      <c r="I197" s="633"/>
      <c r="J197" s="633"/>
      <c r="K197" s="637"/>
      <c r="L197" s="637"/>
      <c r="M197" s="637"/>
      <c r="N197" s="633"/>
      <c r="O197" s="633"/>
      <c r="P197" s="637"/>
      <c r="Q197" s="633"/>
      <c r="R197" s="633"/>
      <c r="S197" s="633"/>
      <c r="T197" s="645"/>
      <c r="U197" s="645"/>
      <c r="V197" s="645"/>
      <c r="W197" s="645"/>
      <c r="X197" s="645"/>
      <c r="Y197" s="645"/>
      <c r="Z197" s="645"/>
      <c r="AA197" s="653"/>
      <c r="AB197" s="765"/>
      <c r="AC197" s="765"/>
      <c r="AD197" s="765"/>
      <c r="AE197" s="630"/>
      <c r="AF197" s="780"/>
    </row>
    <row r="198" spans="1:38" s="73" customFormat="1">
      <c r="A198" s="244"/>
      <c r="B198" s="245"/>
      <c r="C198" s="246"/>
      <c r="D198" s="247"/>
      <c r="E198" s="247"/>
      <c r="F198" s="247"/>
      <c r="G198" s="247"/>
      <c r="H198" s="247"/>
      <c r="I198" s="246"/>
      <c r="J198" s="246"/>
      <c r="K198" s="247"/>
      <c r="L198" s="247"/>
      <c r="M198" s="247"/>
      <c r="N198" s="246"/>
      <c r="O198" s="246"/>
      <c r="P198" s="247"/>
      <c r="Q198" s="246"/>
      <c r="R198" s="246"/>
      <c r="S198" s="246"/>
      <c r="T198" s="326"/>
      <c r="U198" s="326"/>
      <c r="V198" s="326"/>
      <c r="W198" s="326"/>
      <c r="X198" s="326"/>
      <c r="Y198" s="326"/>
      <c r="Z198" s="326"/>
      <c r="AA198" s="654"/>
      <c r="AB198" s="765"/>
      <c r="AC198" s="765"/>
      <c r="AD198" s="765"/>
      <c r="AE198" s="630"/>
      <c r="AF198" s="780"/>
    </row>
    <row r="199" spans="1:38" s="73" customFormat="1">
      <c r="A199" s="244"/>
      <c r="B199" s="248"/>
      <c r="C199" s="256"/>
      <c r="D199" s="257"/>
      <c r="E199" s="257"/>
      <c r="F199" s="257"/>
      <c r="G199" s="257"/>
      <c r="H199" s="257"/>
      <c r="I199" s="256"/>
      <c r="J199" s="256"/>
      <c r="K199" s="257"/>
      <c r="L199" s="257"/>
      <c r="M199" s="257"/>
      <c r="N199" s="256"/>
      <c r="O199" s="652"/>
      <c r="P199" s="257"/>
      <c r="Q199" s="256"/>
      <c r="R199" s="256"/>
      <c r="S199" s="256"/>
      <c r="T199" s="327"/>
      <c r="U199" s="327"/>
      <c r="V199" s="327"/>
      <c r="W199" s="327"/>
      <c r="X199" s="327"/>
      <c r="Y199" s="327"/>
      <c r="Z199" s="327"/>
      <c r="AA199" s="655"/>
      <c r="AB199" s="766"/>
      <c r="AC199" s="766"/>
      <c r="AD199" s="766"/>
      <c r="AE199" s="630"/>
      <c r="AF199" s="780"/>
    </row>
    <row r="200" spans="1:38">
      <c r="A200" s="244"/>
      <c r="B200" s="245"/>
      <c r="C200" s="246"/>
      <c r="D200" s="247"/>
      <c r="E200" s="247"/>
      <c r="F200" s="247"/>
      <c r="G200" s="247"/>
      <c r="H200" s="247"/>
      <c r="I200" s="246"/>
      <c r="J200" s="246"/>
      <c r="K200" s="247"/>
      <c r="L200" s="247"/>
      <c r="M200" s="247"/>
      <c r="N200" s="246"/>
      <c r="O200" s="328"/>
      <c r="P200" s="247"/>
      <c r="Q200" s="246"/>
      <c r="R200" s="246"/>
      <c r="S200" s="246"/>
      <c r="T200" s="326"/>
      <c r="U200" s="326"/>
      <c r="V200" s="326"/>
      <c r="W200" s="326"/>
      <c r="X200" s="326"/>
      <c r="Y200" s="326"/>
      <c r="Z200" s="326"/>
      <c r="AA200" s="656"/>
      <c r="AB200" s="765"/>
      <c r="AC200" s="765"/>
      <c r="AD200" s="765"/>
      <c r="AE200" s="630"/>
      <c r="AF200" s="780"/>
    </row>
    <row r="201" spans="1:38" s="73" customFormat="1">
      <c r="A201" s="244"/>
      <c r="B201" s="245"/>
      <c r="C201" s="246"/>
      <c r="D201" s="247"/>
      <c r="E201" s="247"/>
      <c r="F201" s="247"/>
      <c r="G201" s="247"/>
      <c r="H201" s="247"/>
      <c r="I201" s="246"/>
      <c r="J201" s="246"/>
      <c r="K201" s="247"/>
      <c r="L201" s="247"/>
      <c r="M201" s="247"/>
      <c r="N201" s="246"/>
      <c r="O201" s="328"/>
      <c r="P201" s="247"/>
      <c r="Q201" s="246"/>
      <c r="R201" s="246"/>
      <c r="S201" s="246"/>
      <c r="T201" s="326"/>
      <c r="U201" s="326"/>
      <c r="V201" s="326"/>
      <c r="W201" s="326"/>
      <c r="X201" s="326"/>
      <c r="Y201" s="326"/>
      <c r="Z201" s="326"/>
      <c r="AA201" s="656"/>
      <c r="AB201" s="765"/>
      <c r="AC201" s="765"/>
      <c r="AD201" s="765"/>
      <c r="AE201" s="630"/>
      <c r="AF201" s="780"/>
    </row>
    <row r="202" spans="1:38" s="73" customFormat="1">
      <c r="A202" s="244"/>
      <c r="B202" s="248"/>
      <c r="C202" s="256"/>
      <c r="D202" s="257"/>
      <c r="E202" s="257"/>
      <c r="F202" s="257"/>
      <c r="G202" s="257"/>
      <c r="H202" s="257"/>
      <c r="I202" s="256"/>
      <c r="J202" s="256"/>
      <c r="K202" s="257"/>
      <c r="L202" s="257"/>
      <c r="M202" s="257"/>
      <c r="N202" s="256"/>
      <c r="O202" s="652"/>
      <c r="P202" s="257"/>
      <c r="Q202" s="256"/>
      <c r="R202" s="256"/>
      <c r="S202" s="256"/>
      <c r="T202" s="327"/>
      <c r="U202" s="327"/>
      <c r="V202" s="327"/>
      <c r="W202" s="327"/>
      <c r="X202" s="327"/>
      <c r="Y202" s="327"/>
      <c r="Z202" s="327"/>
      <c r="AA202" s="655"/>
      <c r="AB202" s="766"/>
      <c r="AC202" s="766"/>
      <c r="AD202" s="766"/>
      <c r="AE202" s="630"/>
      <c r="AF202" s="780"/>
    </row>
    <row r="203" spans="1:38">
      <c r="A203" s="244"/>
      <c r="B203" s="245"/>
      <c r="C203" s="246"/>
      <c r="D203" s="247"/>
      <c r="E203" s="247"/>
      <c r="F203" s="247"/>
      <c r="G203" s="247"/>
      <c r="H203" s="247"/>
      <c r="I203" s="246"/>
      <c r="J203" s="246"/>
      <c r="K203" s="247"/>
      <c r="L203" s="247"/>
      <c r="M203" s="247"/>
      <c r="N203" s="246"/>
      <c r="O203" s="328"/>
      <c r="P203" s="247"/>
      <c r="Q203" s="246"/>
      <c r="R203" s="246"/>
      <c r="S203" s="246"/>
      <c r="T203" s="326"/>
      <c r="U203" s="326"/>
      <c r="V203" s="326"/>
      <c r="W203" s="326"/>
      <c r="X203" s="326"/>
      <c r="Y203" s="326"/>
      <c r="Z203" s="326"/>
      <c r="AA203" s="656"/>
      <c r="AB203" s="765"/>
      <c r="AC203" s="765"/>
      <c r="AD203" s="765"/>
      <c r="AE203" s="630"/>
      <c r="AF203" s="780"/>
    </row>
    <row r="204" spans="1:38" s="73" customFormat="1">
      <c r="A204" s="244"/>
      <c r="B204" s="245"/>
      <c r="C204" s="246"/>
      <c r="D204" s="247"/>
      <c r="E204" s="247"/>
      <c r="F204" s="247"/>
      <c r="G204" s="247"/>
      <c r="H204" s="247"/>
      <c r="I204" s="246"/>
      <c r="J204" s="246"/>
      <c r="K204" s="247"/>
      <c r="L204" s="247"/>
      <c r="M204" s="247"/>
      <c r="N204" s="246"/>
      <c r="O204" s="328"/>
      <c r="P204" s="247"/>
      <c r="Q204" s="246"/>
      <c r="R204" s="246"/>
      <c r="S204" s="246"/>
      <c r="T204" s="326"/>
      <c r="U204" s="326"/>
      <c r="V204" s="326"/>
      <c r="W204" s="326"/>
      <c r="X204" s="326"/>
      <c r="Y204" s="326"/>
      <c r="Z204" s="326"/>
      <c r="AA204" s="656"/>
      <c r="AB204" s="765"/>
      <c r="AC204" s="765"/>
      <c r="AD204" s="765"/>
      <c r="AE204" s="630"/>
      <c r="AF204" s="780"/>
    </row>
    <row r="205" spans="1:38" s="73" customFormat="1">
      <c r="A205" s="244"/>
      <c r="B205" s="248"/>
      <c r="C205" s="256"/>
      <c r="D205" s="257"/>
      <c r="E205" s="257"/>
      <c r="F205" s="257"/>
      <c r="G205" s="257"/>
      <c r="H205" s="257"/>
      <c r="I205" s="256"/>
      <c r="J205" s="256"/>
      <c r="K205" s="257"/>
      <c r="L205" s="257"/>
      <c r="M205" s="257"/>
      <c r="N205" s="256"/>
      <c r="O205" s="652"/>
      <c r="P205" s="257"/>
      <c r="Q205" s="256"/>
      <c r="R205" s="256"/>
      <c r="S205" s="256"/>
      <c r="T205" s="327"/>
      <c r="U205" s="327"/>
      <c r="V205" s="327"/>
      <c r="W205" s="327"/>
      <c r="X205" s="327"/>
      <c r="Y205" s="327"/>
      <c r="Z205" s="327"/>
      <c r="AA205" s="655"/>
      <c r="AB205" s="766"/>
      <c r="AC205" s="766"/>
      <c r="AD205" s="766"/>
      <c r="AE205" s="630"/>
      <c r="AF205" s="780"/>
    </row>
    <row r="206" spans="1:38">
      <c r="A206" s="244"/>
      <c r="B206" s="245"/>
      <c r="C206" s="246"/>
      <c r="D206" s="247"/>
      <c r="E206" s="247"/>
      <c r="F206" s="247"/>
      <c r="G206" s="247"/>
      <c r="H206" s="247"/>
      <c r="I206" s="246"/>
      <c r="J206" s="246"/>
      <c r="K206" s="247"/>
      <c r="L206" s="247"/>
      <c r="M206" s="247"/>
      <c r="N206" s="246"/>
      <c r="O206" s="328"/>
      <c r="P206" s="247"/>
      <c r="Q206" s="246"/>
      <c r="R206" s="246"/>
      <c r="S206" s="246"/>
      <c r="T206" s="326"/>
      <c r="U206" s="326"/>
      <c r="V206" s="326"/>
      <c r="W206" s="326"/>
      <c r="X206" s="326"/>
      <c r="Y206" s="326"/>
      <c r="Z206" s="326"/>
      <c r="AA206" s="656"/>
      <c r="AB206" s="765"/>
      <c r="AC206" s="765"/>
      <c r="AD206" s="765"/>
      <c r="AE206" s="630"/>
      <c r="AF206" s="780"/>
      <c r="AL206" s="73"/>
    </row>
    <row r="207" spans="1:38" s="73" customFormat="1">
      <c r="A207" s="244"/>
      <c r="B207" s="245"/>
      <c r="C207" s="246"/>
      <c r="D207" s="247"/>
      <c r="E207" s="247"/>
      <c r="F207" s="247"/>
      <c r="G207" s="247"/>
      <c r="H207" s="247"/>
      <c r="I207" s="246"/>
      <c r="J207" s="246"/>
      <c r="K207" s="247"/>
      <c r="L207" s="247"/>
      <c r="M207" s="247"/>
      <c r="N207" s="246"/>
      <c r="O207" s="328"/>
      <c r="P207" s="247"/>
      <c r="Q207" s="246"/>
      <c r="R207" s="246"/>
      <c r="S207" s="246"/>
      <c r="T207" s="326"/>
      <c r="U207" s="326"/>
      <c r="V207" s="326"/>
      <c r="W207" s="326"/>
      <c r="X207" s="326"/>
      <c r="Y207" s="326"/>
      <c r="Z207" s="326"/>
      <c r="AA207" s="656"/>
      <c r="AB207" s="765"/>
      <c r="AC207" s="765"/>
      <c r="AD207" s="765"/>
      <c r="AE207" s="630"/>
      <c r="AF207" s="780"/>
      <c r="AK207" s="214"/>
    </row>
    <row r="208" spans="1:38">
      <c r="A208" s="249"/>
      <c r="B208" s="325"/>
      <c r="C208" s="657"/>
      <c r="D208" s="659"/>
      <c r="E208" s="659"/>
      <c r="F208" s="659"/>
      <c r="G208" s="659"/>
      <c r="H208" s="659"/>
      <c r="I208" s="657"/>
      <c r="J208" s="657"/>
      <c r="K208" s="659"/>
      <c r="L208" s="659"/>
      <c r="M208" s="659"/>
      <c r="N208" s="657"/>
      <c r="O208" s="660"/>
      <c r="P208" s="659"/>
      <c r="Q208" s="657"/>
      <c r="R208" s="657"/>
      <c r="S208" s="657"/>
      <c r="T208" s="661"/>
      <c r="U208" s="661"/>
      <c r="V208" s="661"/>
      <c r="W208" s="661"/>
      <c r="X208" s="661"/>
      <c r="Y208" s="661"/>
      <c r="Z208" s="661"/>
      <c r="AA208" s="662"/>
      <c r="AB208" s="766"/>
      <c r="AC208" s="766"/>
      <c r="AD208" s="766"/>
      <c r="AE208" s="630"/>
    </row>
    <row r="209" spans="1:1">
      <c r="A209" s="214"/>
    </row>
    <row r="210" spans="1:1">
      <c r="A210" s="214"/>
    </row>
    <row r="211" spans="1:1">
      <c r="A211" s="214"/>
    </row>
    <row r="212" spans="1:1">
      <c r="A212" s="214"/>
    </row>
    <row r="213" spans="1:1">
      <c r="A213" s="214"/>
    </row>
    <row r="214" spans="1:1">
      <c r="A214" s="214"/>
    </row>
    <row r="215" spans="1:1">
      <c r="A215" s="214"/>
    </row>
    <row r="216" spans="1:1">
      <c r="A216" s="214"/>
    </row>
    <row r="217" spans="1:1">
      <c r="A217" s="214"/>
    </row>
    <row r="218" spans="1:1">
      <c r="A218" s="214"/>
    </row>
    <row r="219" spans="1:1">
      <c r="A219" s="214"/>
    </row>
    <row r="220" spans="1:1">
      <c r="A220" s="21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41"/>
  <sheetViews>
    <sheetView topLeftCell="G1" workbookViewId="0">
      <selection activeCell="N33" sqref="N33"/>
    </sheetView>
  </sheetViews>
  <sheetFormatPr defaultRowHeight="12.75"/>
  <cols>
    <col min="1" max="1" width="5" style="181" customWidth="1"/>
    <col min="2" max="2" width="33.33203125" style="181" customWidth="1"/>
    <col min="3" max="8" width="13.6640625" style="215" customWidth="1"/>
    <col min="9" max="9" width="16.1640625" style="215" customWidth="1"/>
    <col min="10" max="13" width="12.33203125" style="215" customWidth="1"/>
    <col min="14" max="14" width="15.6640625" style="215" customWidth="1"/>
    <col min="15" max="16" width="12.5" style="215" customWidth="1"/>
    <col min="17" max="17" width="15.83203125" style="215" customWidth="1"/>
    <col min="18" max="18" width="10.6640625" style="181" customWidth="1"/>
    <col min="19" max="19" width="14.33203125" style="181" customWidth="1"/>
    <col min="20" max="23" width="10.6640625" style="181" bestFit="1" customWidth="1"/>
    <col min="24" max="24" width="9.5" style="181" customWidth="1"/>
    <col min="25" max="25" width="10.1640625" style="181" customWidth="1"/>
    <col min="26" max="16384" width="9.33203125" style="181"/>
  </cols>
  <sheetData>
    <row r="1" spans="1:25">
      <c r="E1" s="686"/>
      <c r="L1" s="687"/>
      <c r="M1" s="4"/>
    </row>
    <row r="3" spans="1:25" s="1" customFormat="1">
      <c r="A3" s="667"/>
      <c r="B3" s="668"/>
      <c r="C3" s="688"/>
      <c r="D3" s="689"/>
      <c r="E3" s="689"/>
      <c r="F3" s="689"/>
      <c r="G3" s="689"/>
      <c r="H3" s="689"/>
      <c r="I3" s="689"/>
      <c r="J3" s="689"/>
      <c r="K3" s="689"/>
      <c r="L3" s="689"/>
      <c r="M3" s="689"/>
      <c r="N3" s="689"/>
      <c r="O3" s="689"/>
      <c r="P3" s="689"/>
      <c r="Q3" s="689"/>
      <c r="R3" s="670"/>
      <c r="S3" s="670"/>
      <c r="T3" s="670"/>
      <c r="U3" s="670"/>
      <c r="V3" s="670"/>
      <c r="W3" s="671"/>
      <c r="X3"/>
      <c r="Y3"/>
    </row>
    <row r="4" spans="1:25" s="1" customFormat="1">
      <c r="A4" s="183"/>
      <c r="B4" s="184"/>
      <c r="C4" s="688"/>
      <c r="D4" s="689"/>
      <c r="E4" s="689"/>
      <c r="F4" s="689"/>
      <c r="G4" s="689"/>
      <c r="H4" s="689"/>
      <c r="I4" s="688"/>
      <c r="J4" s="688"/>
      <c r="K4" s="689"/>
      <c r="L4" s="689"/>
      <c r="M4" s="689"/>
      <c r="N4" s="688"/>
      <c r="O4" s="688"/>
      <c r="P4" s="689"/>
      <c r="Q4" s="688"/>
      <c r="R4" s="672"/>
      <c r="S4" s="672"/>
      <c r="T4" s="672"/>
      <c r="U4" s="672"/>
      <c r="V4" s="672"/>
      <c r="W4" s="673"/>
      <c r="X4"/>
      <c r="Y4"/>
    </row>
    <row r="5" spans="1:25" s="1" customFormat="1">
      <c r="A5" s="667"/>
      <c r="B5" s="667"/>
      <c r="C5" s="688"/>
      <c r="D5" s="690"/>
      <c r="E5" s="690"/>
      <c r="F5" s="690"/>
      <c r="G5" s="690"/>
      <c r="H5" s="690"/>
      <c r="I5" s="691"/>
      <c r="J5" s="688"/>
      <c r="K5" s="690"/>
      <c r="L5" s="690"/>
      <c r="M5" s="690"/>
      <c r="N5" s="691"/>
      <c r="O5" s="688"/>
      <c r="P5" s="690"/>
      <c r="Q5" s="691"/>
      <c r="R5" s="672"/>
      <c r="S5" s="674"/>
      <c r="T5" s="672"/>
      <c r="U5" s="674"/>
      <c r="V5" s="672"/>
      <c r="W5" s="675"/>
      <c r="X5"/>
      <c r="Y5"/>
    </row>
    <row r="6" spans="1:25">
      <c r="A6" s="669"/>
      <c r="B6" s="667"/>
      <c r="C6" s="692"/>
      <c r="D6" s="693"/>
      <c r="E6" s="693"/>
      <c r="F6" s="693"/>
      <c r="G6" s="693"/>
      <c r="H6" s="693"/>
      <c r="I6" s="692"/>
      <c r="J6" s="692"/>
      <c r="K6" s="693"/>
      <c r="L6" s="693"/>
      <c r="M6" s="693"/>
      <c r="N6" s="692"/>
      <c r="O6" s="692"/>
      <c r="P6" s="693"/>
      <c r="Q6" s="692"/>
      <c r="R6" s="676"/>
      <c r="S6" s="676"/>
      <c r="T6" s="676"/>
      <c r="U6" s="676"/>
      <c r="V6" s="676"/>
      <c r="W6" s="677"/>
      <c r="X6"/>
      <c r="Y6"/>
    </row>
    <row r="7" spans="1:25" s="1" customFormat="1">
      <c r="A7" s="182"/>
      <c r="B7" s="31"/>
      <c r="C7" s="694"/>
      <c r="D7" s="107"/>
      <c r="E7" s="107"/>
      <c r="F7" s="107"/>
      <c r="G7" s="107"/>
      <c r="H7" s="107"/>
      <c r="I7" s="694"/>
      <c r="J7" s="694"/>
      <c r="K7" s="107"/>
      <c r="L7" s="107"/>
      <c r="M7" s="107"/>
      <c r="N7" s="694"/>
      <c r="O7" s="694"/>
      <c r="P7" s="107"/>
      <c r="Q7" s="694"/>
      <c r="R7" s="678"/>
      <c r="S7" s="678"/>
      <c r="T7" s="678"/>
      <c r="U7" s="678"/>
      <c r="V7" s="678"/>
      <c r="W7" s="679"/>
      <c r="X7"/>
      <c r="Y7"/>
    </row>
    <row r="8" spans="1:25">
      <c r="A8" s="182"/>
      <c r="B8" s="217"/>
      <c r="C8" s="695"/>
      <c r="D8" s="697"/>
      <c r="E8" s="697"/>
      <c r="F8" s="697"/>
      <c r="G8" s="697"/>
      <c r="H8" s="697"/>
      <c r="I8" s="695"/>
      <c r="J8" s="695"/>
      <c r="K8" s="697"/>
      <c r="L8" s="697"/>
      <c r="M8" s="697"/>
      <c r="N8" s="695"/>
      <c r="O8" s="695"/>
      <c r="P8" s="697"/>
      <c r="Q8" s="695"/>
      <c r="R8" s="680"/>
      <c r="S8" s="680"/>
      <c r="T8" s="680"/>
      <c r="U8" s="680"/>
      <c r="V8" s="680"/>
      <c r="W8" s="681"/>
      <c r="X8"/>
      <c r="Y8"/>
    </row>
    <row r="9" spans="1:25" s="1" customFormat="1">
      <c r="A9" s="182"/>
      <c r="B9" s="31"/>
      <c r="C9" s="694"/>
      <c r="D9" s="107"/>
      <c r="E9" s="107"/>
      <c r="F9" s="107"/>
      <c r="G9" s="107"/>
      <c r="H9" s="107"/>
      <c r="I9" s="694"/>
      <c r="J9" s="694"/>
      <c r="K9" s="107"/>
      <c r="L9" s="107"/>
      <c r="M9" s="107"/>
      <c r="N9" s="694"/>
      <c r="O9" s="694"/>
      <c r="P9" s="107"/>
      <c r="Q9" s="694"/>
      <c r="R9" s="678"/>
      <c r="S9" s="678"/>
      <c r="T9" s="678"/>
      <c r="U9" s="678"/>
      <c r="V9" s="678"/>
      <c r="W9" s="679"/>
      <c r="X9"/>
      <c r="Y9"/>
    </row>
    <row r="10" spans="1:25">
      <c r="A10" s="182"/>
      <c r="B10" s="31"/>
      <c r="C10" s="694"/>
      <c r="D10" s="107"/>
      <c r="E10" s="107"/>
      <c r="F10" s="107"/>
      <c r="G10" s="107"/>
      <c r="H10" s="107"/>
      <c r="I10" s="694"/>
      <c r="J10" s="694"/>
      <c r="K10" s="107"/>
      <c r="L10" s="107"/>
      <c r="M10" s="107"/>
      <c r="N10" s="694"/>
      <c r="O10" s="694"/>
      <c r="P10" s="107"/>
      <c r="Q10" s="694"/>
      <c r="R10" s="678"/>
      <c r="S10" s="678"/>
      <c r="T10" s="678"/>
      <c r="U10" s="678"/>
      <c r="V10" s="678"/>
      <c r="W10" s="679"/>
      <c r="X10"/>
      <c r="Y10"/>
    </row>
    <row r="11" spans="1:25" s="1" customFormat="1">
      <c r="A11" s="182"/>
      <c r="B11" s="223"/>
      <c r="C11" s="695"/>
      <c r="D11" s="697"/>
      <c r="E11" s="697"/>
      <c r="F11" s="697"/>
      <c r="G11" s="697"/>
      <c r="H11" s="697"/>
      <c r="I11" s="695"/>
      <c r="J11" s="695"/>
      <c r="K11" s="697"/>
      <c r="L11" s="697"/>
      <c r="M11" s="697"/>
      <c r="N11" s="695"/>
      <c r="O11" s="695"/>
      <c r="P11" s="697"/>
      <c r="Q11" s="695"/>
      <c r="R11" s="682"/>
      <c r="S11" s="682"/>
      <c r="T11" s="682"/>
      <c r="U11" s="682"/>
      <c r="V11" s="682"/>
      <c r="W11" s="683"/>
      <c r="X11"/>
      <c r="Y11"/>
    </row>
    <row r="12" spans="1:25">
      <c r="A12" s="185"/>
      <c r="B12" s="243"/>
      <c r="C12" s="696"/>
      <c r="D12" s="698"/>
      <c r="E12" s="698"/>
      <c r="F12" s="698"/>
      <c r="G12" s="698"/>
      <c r="H12" s="698"/>
      <c r="I12" s="696"/>
      <c r="J12" s="696"/>
      <c r="K12" s="698"/>
      <c r="L12" s="698"/>
      <c r="M12" s="698"/>
      <c r="N12" s="696"/>
      <c r="O12" s="696"/>
      <c r="P12" s="698"/>
      <c r="Q12" s="696"/>
      <c r="R12" s="684"/>
      <c r="S12" s="684"/>
      <c r="T12" s="684"/>
      <c r="U12" s="684"/>
      <c r="V12" s="684"/>
      <c r="W12" s="685"/>
      <c r="X12"/>
      <c r="Y12"/>
    </row>
    <row r="13" spans="1:25" s="1" customFormat="1">
      <c r="A13" s="669"/>
      <c r="B13" s="667"/>
      <c r="C13" s="692"/>
      <c r="D13" s="693"/>
      <c r="E13" s="693"/>
      <c r="F13" s="693"/>
      <c r="G13" s="693"/>
      <c r="H13" s="693"/>
      <c r="I13" s="692"/>
      <c r="J13" s="692"/>
      <c r="K13" s="693"/>
      <c r="L13" s="693"/>
      <c r="M13" s="693"/>
      <c r="N13" s="692"/>
      <c r="O13" s="692"/>
      <c r="P13" s="693"/>
      <c r="Q13" s="692"/>
      <c r="R13" s="676"/>
      <c r="S13" s="676"/>
      <c r="T13" s="676"/>
      <c r="U13" s="676"/>
      <c r="V13" s="676"/>
      <c r="W13" s="677"/>
      <c r="X13"/>
      <c r="Y13"/>
    </row>
    <row r="14" spans="1:25" s="1" customFormat="1">
      <c r="A14" s="182"/>
      <c r="B14" s="31"/>
      <c r="C14" s="694"/>
      <c r="D14" s="107"/>
      <c r="E14" s="107"/>
      <c r="F14" s="107"/>
      <c r="G14" s="107"/>
      <c r="H14" s="107"/>
      <c r="I14" s="694"/>
      <c r="J14" s="694"/>
      <c r="K14" s="107"/>
      <c r="L14" s="107"/>
      <c r="M14" s="107"/>
      <c r="N14" s="694"/>
      <c r="O14" s="694"/>
      <c r="P14" s="107"/>
      <c r="Q14" s="694"/>
      <c r="R14" s="678"/>
      <c r="S14" s="678"/>
      <c r="T14" s="678"/>
      <c r="U14" s="678"/>
      <c r="V14" s="678"/>
      <c r="W14" s="679"/>
      <c r="X14"/>
      <c r="Y14"/>
    </row>
    <row r="15" spans="1:25">
      <c r="A15" s="182"/>
      <c r="B15" s="217"/>
      <c r="C15" s="695"/>
      <c r="D15" s="697"/>
      <c r="E15" s="697"/>
      <c r="F15" s="697"/>
      <c r="G15" s="697"/>
      <c r="H15" s="697"/>
      <c r="I15" s="695"/>
      <c r="J15" s="695"/>
      <c r="K15" s="697"/>
      <c r="L15" s="697"/>
      <c r="M15" s="697"/>
      <c r="N15" s="695"/>
      <c r="O15" s="695"/>
      <c r="P15" s="697"/>
      <c r="Q15" s="695"/>
      <c r="R15" s="680"/>
      <c r="S15" s="680"/>
      <c r="T15" s="680"/>
      <c r="U15" s="680"/>
      <c r="V15" s="680"/>
      <c r="W15" s="681"/>
      <c r="X15"/>
      <c r="Y15"/>
    </row>
    <row r="16" spans="1:25" s="1" customFormat="1">
      <c r="A16" s="182"/>
      <c r="B16" s="31"/>
      <c r="C16" s="694"/>
      <c r="D16" s="107"/>
      <c r="E16" s="107"/>
      <c r="F16" s="107"/>
      <c r="G16" s="107"/>
      <c r="H16" s="107"/>
      <c r="I16" s="694"/>
      <c r="J16" s="694"/>
      <c r="K16" s="107"/>
      <c r="L16" s="107"/>
      <c r="M16" s="107"/>
      <c r="N16" s="694"/>
      <c r="O16" s="694"/>
      <c r="P16" s="107"/>
      <c r="Q16" s="694"/>
      <c r="R16" s="678"/>
      <c r="S16" s="678"/>
      <c r="T16" s="678"/>
      <c r="U16" s="678"/>
      <c r="V16" s="678"/>
      <c r="W16" s="679"/>
      <c r="X16"/>
      <c r="Y16"/>
    </row>
    <row r="17" spans="1:25">
      <c r="A17" s="182"/>
      <c r="B17" s="31"/>
      <c r="C17" s="694"/>
      <c r="D17" s="107"/>
      <c r="E17" s="107"/>
      <c r="F17" s="107"/>
      <c r="G17" s="107"/>
      <c r="H17" s="107"/>
      <c r="I17" s="694"/>
      <c r="J17" s="694"/>
      <c r="K17" s="107"/>
      <c r="L17" s="107"/>
      <c r="M17" s="107"/>
      <c r="N17" s="694"/>
      <c r="O17" s="694"/>
      <c r="P17" s="107"/>
      <c r="Q17" s="694"/>
      <c r="R17" s="678"/>
      <c r="S17" s="678"/>
      <c r="T17" s="678"/>
      <c r="U17" s="678"/>
      <c r="V17" s="678"/>
      <c r="W17" s="679"/>
      <c r="X17"/>
      <c r="Y17"/>
    </row>
    <row r="18" spans="1:25" s="1" customFormat="1">
      <c r="A18" s="182"/>
      <c r="B18" s="223"/>
      <c r="C18" s="695"/>
      <c r="D18" s="697"/>
      <c r="E18" s="697"/>
      <c r="F18" s="697"/>
      <c r="G18" s="697"/>
      <c r="H18" s="697"/>
      <c r="I18" s="695"/>
      <c r="J18" s="695"/>
      <c r="K18" s="697"/>
      <c r="L18" s="697"/>
      <c r="M18" s="697"/>
      <c r="N18" s="695"/>
      <c r="O18" s="695"/>
      <c r="P18" s="697"/>
      <c r="Q18" s="695"/>
      <c r="R18" s="682"/>
      <c r="S18" s="682"/>
      <c r="T18" s="682"/>
      <c r="U18" s="682"/>
      <c r="V18" s="682"/>
      <c r="W18" s="683"/>
      <c r="X18"/>
      <c r="Y18"/>
    </row>
    <row r="19" spans="1:25">
      <c r="A19" s="185"/>
      <c r="B19" s="243"/>
      <c r="C19" s="696"/>
      <c r="D19" s="698"/>
      <c r="E19" s="698"/>
      <c r="F19" s="698"/>
      <c r="G19" s="698"/>
      <c r="H19" s="698"/>
      <c r="I19" s="696"/>
      <c r="J19" s="696"/>
      <c r="K19" s="698"/>
      <c r="L19" s="698"/>
      <c r="M19" s="698"/>
      <c r="N19" s="696"/>
      <c r="O19" s="696"/>
      <c r="P19" s="698"/>
      <c r="Q19" s="696"/>
      <c r="R19" s="684"/>
      <c r="S19" s="684"/>
      <c r="T19" s="684"/>
      <c r="U19" s="684"/>
      <c r="V19" s="684"/>
      <c r="W19" s="685"/>
      <c r="X19"/>
      <c r="Y19"/>
    </row>
    <row r="20" spans="1:25" s="1" customFormat="1">
      <c r="A20" s="669"/>
      <c r="B20" s="667"/>
      <c r="C20" s="692"/>
      <c r="D20" s="693"/>
      <c r="E20" s="693"/>
      <c r="F20" s="693"/>
      <c r="G20" s="693"/>
      <c r="H20" s="693"/>
      <c r="I20" s="692"/>
      <c r="J20" s="692"/>
      <c r="K20" s="693"/>
      <c r="L20" s="693"/>
      <c r="M20" s="693"/>
      <c r="N20" s="692"/>
      <c r="O20" s="692"/>
      <c r="P20" s="693"/>
      <c r="Q20" s="692"/>
      <c r="R20" s="676"/>
      <c r="S20" s="676"/>
      <c r="T20" s="676"/>
      <c r="U20" s="676"/>
      <c r="V20" s="676"/>
      <c r="W20" s="677"/>
      <c r="X20"/>
      <c r="Y20"/>
    </row>
    <row r="21" spans="1:25">
      <c r="A21" s="182"/>
      <c r="B21" s="31"/>
      <c r="C21" s="694"/>
      <c r="D21" s="107"/>
      <c r="E21" s="107"/>
      <c r="F21" s="107"/>
      <c r="G21" s="107"/>
      <c r="H21" s="107"/>
      <c r="I21" s="694"/>
      <c r="J21" s="694"/>
      <c r="K21" s="107"/>
      <c r="L21" s="107"/>
      <c r="M21" s="107"/>
      <c r="N21" s="694"/>
      <c r="O21" s="694"/>
      <c r="P21" s="107"/>
      <c r="Q21" s="694"/>
      <c r="R21" s="678"/>
      <c r="S21" s="678"/>
      <c r="T21" s="678"/>
      <c r="U21" s="678"/>
      <c r="V21" s="678"/>
      <c r="W21" s="679"/>
      <c r="X21"/>
      <c r="Y21"/>
    </row>
    <row r="22" spans="1:25" s="1" customFormat="1">
      <c r="A22" s="182"/>
      <c r="B22" s="217"/>
      <c r="C22" s="695"/>
      <c r="D22" s="697"/>
      <c r="E22" s="697"/>
      <c r="F22" s="697"/>
      <c r="G22" s="697"/>
      <c r="H22" s="697"/>
      <c r="I22" s="695"/>
      <c r="J22" s="695"/>
      <c r="K22" s="697"/>
      <c r="L22" s="697"/>
      <c r="M22" s="697"/>
      <c r="N22" s="695"/>
      <c r="O22" s="695"/>
      <c r="P22" s="697"/>
      <c r="Q22" s="695"/>
      <c r="R22" s="680"/>
      <c r="S22" s="680"/>
      <c r="T22" s="680"/>
      <c r="U22" s="680"/>
      <c r="V22" s="680"/>
      <c r="W22" s="681"/>
      <c r="X22"/>
      <c r="Y22"/>
    </row>
    <row r="23" spans="1:25">
      <c r="A23" s="182"/>
      <c r="B23" s="31"/>
      <c r="C23" s="694"/>
      <c r="D23" s="107"/>
      <c r="E23" s="107"/>
      <c r="F23" s="107"/>
      <c r="G23" s="107"/>
      <c r="H23" s="107"/>
      <c r="I23" s="694"/>
      <c r="J23" s="694"/>
      <c r="K23" s="107"/>
      <c r="L23" s="107"/>
      <c r="M23" s="107"/>
      <c r="N23" s="694"/>
      <c r="O23" s="694"/>
      <c r="P23" s="107"/>
      <c r="Q23" s="694"/>
      <c r="R23" s="678"/>
      <c r="S23" s="678"/>
      <c r="T23" s="678"/>
      <c r="U23" s="678"/>
      <c r="V23" s="678"/>
      <c r="W23" s="679"/>
      <c r="X23"/>
      <c r="Y23"/>
    </row>
    <row r="24" spans="1:25" s="1" customFormat="1">
      <c r="A24" s="182"/>
      <c r="B24" s="31"/>
      <c r="C24" s="694"/>
      <c r="D24" s="107"/>
      <c r="E24" s="107"/>
      <c r="F24" s="107"/>
      <c r="G24" s="107"/>
      <c r="H24" s="107"/>
      <c r="I24" s="694"/>
      <c r="J24" s="694"/>
      <c r="K24" s="107"/>
      <c r="L24" s="107"/>
      <c r="M24" s="107"/>
      <c r="N24" s="694"/>
      <c r="O24" s="694"/>
      <c r="P24" s="107"/>
      <c r="Q24" s="694"/>
      <c r="R24" s="678"/>
      <c r="S24" s="678"/>
      <c r="T24" s="678"/>
      <c r="U24" s="678"/>
      <c r="V24" s="678"/>
      <c r="W24" s="679"/>
      <c r="X24"/>
      <c r="Y24"/>
    </row>
    <row r="25" spans="1:25">
      <c r="A25" s="182"/>
      <c r="B25" s="223"/>
      <c r="C25" s="695"/>
      <c r="D25" s="697"/>
      <c r="E25" s="697"/>
      <c r="F25" s="697"/>
      <c r="G25" s="697"/>
      <c r="H25" s="697"/>
      <c r="I25" s="695"/>
      <c r="J25" s="695"/>
      <c r="K25" s="697"/>
      <c r="L25" s="697"/>
      <c r="M25" s="697"/>
      <c r="N25" s="695"/>
      <c r="O25" s="695"/>
      <c r="P25" s="697"/>
      <c r="Q25" s="695"/>
      <c r="R25" s="682"/>
      <c r="S25" s="682"/>
      <c r="T25" s="682"/>
      <c r="U25" s="682"/>
      <c r="V25" s="682"/>
      <c r="W25" s="683"/>
      <c r="X25"/>
      <c r="Y25"/>
    </row>
    <row r="26" spans="1:25" s="1" customFormat="1">
      <c r="A26" s="185"/>
      <c r="B26" s="243"/>
      <c r="C26" s="696"/>
      <c r="D26" s="698"/>
      <c r="E26" s="698"/>
      <c r="F26" s="698"/>
      <c r="G26" s="698"/>
      <c r="H26" s="698"/>
      <c r="I26" s="696"/>
      <c r="J26" s="696"/>
      <c r="K26" s="698"/>
      <c r="L26" s="698"/>
      <c r="M26" s="698"/>
      <c r="N26" s="696"/>
      <c r="O26" s="696"/>
      <c r="P26" s="698"/>
      <c r="Q26" s="696"/>
      <c r="R26" s="684"/>
      <c r="S26" s="684"/>
      <c r="T26" s="684"/>
      <c r="U26" s="684"/>
      <c r="V26" s="684"/>
      <c r="W26" s="685"/>
      <c r="X26"/>
      <c r="Y26"/>
    </row>
    <row r="27" spans="1:25">
      <c r="A27" s="669"/>
      <c r="B27" s="667"/>
      <c r="C27" s="692"/>
      <c r="D27" s="693"/>
      <c r="E27" s="693"/>
      <c r="F27" s="693"/>
      <c r="G27" s="693"/>
      <c r="H27" s="693"/>
      <c r="I27" s="692"/>
      <c r="J27" s="692"/>
      <c r="K27" s="693"/>
      <c r="L27" s="693"/>
      <c r="M27" s="693"/>
      <c r="N27" s="692"/>
      <c r="O27" s="692"/>
      <c r="P27" s="693"/>
      <c r="Q27" s="692"/>
      <c r="R27" s="676"/>
      <c r="S27" s="676"/>
      <c r="T27" s="676"/>
      <c r="U27" s="676"/>
      <c r="V27" s="676"/>
      <c r="W27" s="677"/>
      <c r="X27"/>
      <c r="Y27"/>
    </row>
    <row r="28" spans="1:25" s="1" customFormat="1">
      <c r="A28" s="182"/>
      <c r="B28" s="31"/>
      <c r="C28" s="694"/>
      <c r="D28" s="107"/>
      <c r="E28" s="107"/>
      <c r="F28" s="107"/>
      <c r="G28" s="107"/>
      <c r="H28" s="107"/>
      <c r="I28" s="694"/>
      <c r="J28" s="694"/>
      <c r="K28" s="107"/>
      <c r="L28" s="107"/>
      <c r="M28" s="107"/>
      <c r="N28" s="694"/>
      <c r="O28" s="694"/>
      <c r="P28" s="107"/>
      <c r="Q28" s="694"/>
      <c r="R28" s="678"/>
      <c r="S28" s="678"/>
      <c r="T28" s="678"/>
      <c r="U28" s="678"/>
      <c r="V28" s="678"/>
      <c r="W28" s="679"/>
      <c r="X28"/>
      <c r="Y28"/>
    </row>
    <row r="29" spans="1:25">
      <c r="A29" s="182"/>
      <c r="B29" s="217"/>
      <c r="C29" s="695"/>
      <c r="D29" s="697"/>
      <c r="E29" s="697"/>
      <c r="F29" s="697"/>
      <c r="G29" s="697"/>
      <c r="H29" s="697"/>
      <c r="I29" s="695"/>
      <c r="J29" s="695"/>
      <c r="K29" s="697"/>
      <c r="L29" s="697"/>
      <c r="M29" s="697"/>
      <c r="N29" s="695"/>
      <c r="O29" s="695"/>
      <c r="P29" s="697"/>
      <c r="Q29" s="695"/>
      <c r="R29" s="680"/>
      <c r="S29" s="680"/>
      <c r="T29" s="680"/>
      <c r="U29" s="680"/>
      <c r="V29" s="680"/>
      <c r="W29" s="681"/>
      <c r="X29"/>
      <c r="Y29"/>
    </row>
    <row r="30" spans="1:25" s="1" customFormat="1">
      <c r="A30" s="182"/>
      <c r="B30" s="31"/>
      <c r="C30" s="694"/>
      <c r="D30" s="107"/>
      <c r="E30" s="107"/>
      <c r="F30" s="107"/>
      <c r="G30" s="107"/>
      <c r="H30" s="107"/>
      <c r="I30" s="694"/>
      <c r="J30" s="694"/>
      <c r="K30" s="107"/>
      <c r="L30" s="107"/>
      <c r="M30" s="107"/>
      <c r="N30" s="694"/>
      <c r="O30" s="694"/>
      <c r="P30" s="107"/>
      <c r="Q30" s="694"/>
      <c r="R30" s="678"/>
      <c r="S30" s="678"/>
      <c r="T30" s="678"/>
      <c r="U30" s="678"/>
      <c r="V30" s="678"/>
      <c r="W30" s="679"/>
      <c r="X30"/>
      <c r="Y30"/>
    </row>
    <row r="31" spans="1:25">
      <c r="A31" s="182"/>
      <c r="B31" s="31"/>
      <c r="C31" s="694"/>
      <c r="D31" s="107"/>
      <c r="E31" s="107"/>
      <c r="F31" s="107"/>
      <c r="G31" s="107"/>
      <c r="H31" s="107"/>
      <c r="I31" s="694"/>
      <c r="J31" s="694"/>
      <c r="K31" s="107"/>
      <c r="L31" s="107"/>
      <c r="M31" s="107"/>
      <c r="N31" s="694"/>
      <c r="O31" s="694"/>
      <c r="P31" s="107"/>
      <c r="Q31" s="694"/>
      <c r="R31" s="678"/>
      <c r="S31" s="678"/>
      <c r="T31" s="678"/>
      <c r="U31" s="678"/>
      <c r="V31" s="678"/>
      <c r="W31" s="679"/>
      <c r="X31"/>
      <c r="Y31"/>
    </row>
    <row r="32" spans="1:25" s="1" customFormat="1">
      <c r="A32" s="182"/>
      <c r="B32" s="223"/>
      <c r="C32" s="695"/>
      <c r="D32" s="697"/>
      <c r="E32" s="697"/>
      <c r="F32" s="697"/>
      <c r="G32" s="697"/>
      <c r="H32" s="697"/>
      <c r="I32" s="695"/>
      <c r="J32" s="695"/>
      <c r="K32" s="697"/>
      <c r="L32" s="697"/>
      <c r="M32" s="697"/>
      <c r="N32" s="695"/>
      <c r="O32" s="695"/>
      <c r="P32" s="697"/>
      <c r="Q32" s="695"/>
      <c r="R32" s="682"/>
      <c r="S32" s="682"/>
      <c r="T32" s="682"/>
      <c r="U32" s="682"/>
      <c r="V32" s="682"/>
      <c r="W32" s="683"/>
      <c r="X32"/>
      <c r="Y32"/>
    </row>
    <row r="33" spans="1:25">
      <c r="A33" s="185"/>
      <c r="B33" s="243"/>
      <c r="C33" s="696"/>
      <c r="D33" s="698"/>
      <c r="E33" s="698"/>
      <c r="F33" s="698"/>
      <c r="G33" s="698"/>
      <c r="H33" s="698"/>
      <c r="I33" s="696"/>
      <c r="J33" s="696"/>
      <c r="K33" s="698"/>
      <c r="L33" s="698"/>
      <c r="M33" s="698"/>
      <c r="N33" s="696"/>
      <c r="O33" s="696"/>
      <c r="P33" s="698"/>
      <c r="Q33" s="696"/>
      <c r="R33" s="684"/>
      <c r="S33" s="684"/>
      <c r="T33" s="684"/>
      <c r="U33" s="684"/>
      <c r="V33" s="684"/>
      <c r="W33" s="685"/>
      <c r="X33"/>
      <c r="Y33"/>
    </row>
    <row r="34" spans="1:25" s="1" customFormat="1">
      <c r="A34" s="669"/>
      <c r="B34" s="667"/>
      <c r="C34" s="692"/>
      <c r="D34" s="693"/>
      <c r="E34" s="693"/>
      <c r="F34" s="693"/>
      <c r="G34" s="693"/>
      <c r="H34" s="693"/>
      <c r="I34" s="692"/>
      <c r="J34" s="692"/>
      <c r="K34" s="693"/>
      <c r="L34" s="693"/>
      <c r="M34" s="693"/>
      <c r="N34" s="692"/>
      <c r="O34" s="692"/>
      <c r="P34" s="693"/>
      <c r="Q34" s="692"/>
      <c r="R34" s="676"/>
      <c r="S34" s="676"/>
      <c r="T34" s="676"/>
      <c r="U34" s="676"/>
      <c r="V34" s="676"/>
      <c r="W34" s="677"/>
      <c r="X34"/>
      <c r="Y34"/>
    </row>
    <row r="35" spans="1:25">
      <c r="A35" s="182"/>
      <c r="B35" s="31"/>
      <c r="C35" s="694"/>
      <c r="D35" s="107"/>
      <c r="E35" s="107"/>
      <c r="F35" s="107"/>
      <c r="G35" s="107"/>
      <c r="H35" s="107"/>
      <c r="I35" s="694"/>
      <c r="J35" s="694"/>
      <c r="K35" s="107"/>
      <c r="L35" s="107"/>
      <c r="M35" s="107"/>
      <c r="N35" s="694"/>
      <c r="O35" s="694"/>
      <c r="P35" s="107"/>
      <c r="Q35" s="694"/>
      <c r="R35" s="678"/>
      <c r="S35" s="678"/>
      <c r="T35" s="678"/>
      <c r="U35" s="678"/>
      <c r="V35" s="678"/>
      <c r="W35" s="679"/>
      <c r="X35"/>
      <c r="Y35"/>
    </row>
    <row r="36" spans="1:25" s="1" customFormat="1">
      <c r="A36" s="182"/>
      <c r="B36" s="217"/>
      <c r="C36" s="695"/>
      <c r="D36" s="697"/>
      <c r="E36" s="697"/>
      <c r="F36" s="697"/>
      <c r="G36" s="697"/>
      <c r="H36" s="697"/>
      <c r="I36" s="695"/>
      <c r="J36" s="695"/>
      <c r="K36" s="697"/>
      <c r="L36" s="697"/>
      <c r="M36" s="697"/>
      <c r="N36" s="695"/>
      <c r="O36" s="695"/>
      <c r="P36" s="697"/>
      <c r="Q36" s="695"/>
      <c r="R36" s="680"/>
      <c r="S36" s="680"/>
      <c r="T36" s="680"/>
      <c r="U36" s="680"/>
      <c r="V36" s="680"/>
      <c r="W36" s="681"/>
      <c r="X36"/>
      <c r="Y36"/>
    </row>
    <row r="37" spans="1:25">
      <c r="A37" s="182"/>
      <c r="B37" s="31"/>
      <c r="C37" s="694"/>
      <c r="D37" s="107"/>
      <c r="E37" s="107"/>
      <c r="F37" s="107"/>
      <c r="G37" s="107"/>
      <c r="H37" s="107"/>
      <c r="I37" s="694"/>
      <c r="J37" s="694"/>
      <c r="K37" s="107"/>
      <c r="L37" s="107"/>
      <c r="M37" s="107"/>
      <c r="N37" s="694"/>
      <c r="O37" s="694"/>
      <c r="P37" s="107"/>
      <c r="Q37" s="694"/>
      <c r="R37" s="678"/>
      <c r="S37" s="678"/>
      <c r="T37" s="678"/>
      <c r="U37" s="678"/>
      <c r="V37" s="678"/>
      <c r="W37" s="679"/>
      <c r="X37"/>
      <c r="Y37"/>
    </row>
    <row r="38" spans="1:25" s="1" customFormat="1">
      <c r="A38" s="182"/>
      <c r="B38" s="31"/>
      <c r="C38" s="694"/>
      <c r="D38" s="107"/>
      <c r="E38" s="107"/>
      <c r="F38" s="107"/>
      <c r="G38" s="107"/>
      <c r="H38" s="107"/>
      <c r="I38" s="694"/>
      <c r="J38" s="694"/>
      <c r="K38" s="107"/>
      <c r="L38" s="107"/>
      <c r="M38" s="107"/>
      <c r="N38" s="694"/>
      <c r="O38" s="694"/>
      <c r="P38" s="107"/>
      <c r="Q38" s="694"/>
      <c r="R38" s="678"/>
      <c r="S38" s="678"/>
      <c r="T38" s="678"/>
      <c r="U38" s="678"/>
      <c r="V38" s="678"/>
      <c r="W38" s="679"/>
      <c r="X38"/>
      <c r="Y38"/>
    </row>
    <row r="39" spans="1:25">
      <c r="A39" s="182"/>
      <c r="B39" s="223"/>
      <c r="C39" s="695"/>
      <c r="D39" s="697"/>
      <c r="E39" s="697"/>
      <c r="F39" s="697"/>
      <c r="G39" s="697"/>
      <c r="H39" s="697"/>
      <c r="I39" s="695"/>
      <c r="J39" s="695"/>
      <c r="K39" s="697"/>
      <c r="L39" s="697"/>
      <c r="M39" s="697"/>
      <c r="N39" s="695"/>
      <c r="O39" s="695"/>
      <c r="P39" s="697"/>
      <c r="Q39" s="695"/>
      <c r="R39" s="682"/>
      <c r="S39" s="682"/>
      <c r="T39" s="682"/>
      <c r="U39" s="682"/>
      <c r="V39" s="682"/>
      <c r="W39" s="683"/>
      <c r="X39"/>
      <c r="Y39"/>
    </row>
    <row r="40" spans="1:25" s="1" customFormat="1">
      <c r="A40" s="185"/>
      <c r="B40" s="243"/>
      <c r="C40" s="696"/>
      <c r="D40" s="698"/>
      <c r="E40" s="698"/>
      <c r="F40" s="698"/>
      <c r="G40" s="698"/>
      <c r="H40" s="698"/>
      <c r="I40" s="696"/>
      <c r="J40" s="696"/>
      <c r="K40" s="698"/>
      <c r="L40" s="698"/>
      <c r="M40" s="698"/>
      <c r="N40" s="696"/>
      <c r="O40" s="696"/>
      <c r="P40" s="698"/>
      <c r="Q40" s="696"/>
      <c r="R40" s="684"/>
      <c r="S40" s="684"/>
      <c r="T40" s="684"/>
      <c r="U40" s="684"/>
      <c r="V40" s="684"/>
      <c r="W40" s="685"/>
      <c r="X40"/>
      <c r="Y40"/>
    </row>
    <row r="41" spans="1:25">
      <c r="A41" s="669"/>
      <c r="B41" s="667"/>
      <c r="C41" s="692"/>
      <c r="D41" s="693"/>
      <c r="E41" s="693"/>
      <c r="F41" s="693"/>
      <c r="G41" s="693"/>
      <c r="H41" s="693"/>
      <c r="I41" s="692"/>
      <c r="J41" s="692"/>
      <c r="K41" s="693"/>
      <c r="L41" s="693"/>
      <c r="M41" s="693"/>
      <c r="N41" s="692"/>
      <c r="O41" s="692"/>
      <c r="P41" s="693"/>
      <c r="Q41" s="692"/>
      <c r="R41" s="676"/>
      <c r="S41" s="676"/>
      <c r="T41" s="676"/>
      <c r="U41" s="676"/>
      <c r="V41" s="676"/>
      <c r="W41" s="677"/>
      <c r="X41"/>
      <c r="Y41"/>
    </row>
    <row r="42" spans="1:25" s="1" customFormat="1">
      <c r="A42" s="182"/>
      <c r="B42" s="31"/>
      <c r="C42" s="694"/>
      <c r="D42" s="107"/>
      <c r="E42" s="107"/>
      <c r="F42" s="107"/>
      <c r="G42" s="107"/>
      <c r="H42" s="107"/>
      <c r="I42" s="694"/>
      <c r="J42" s="694"/>
      <c r="K42" s="107"/>
      <c r="L42" s="107"/>
      <c r="M42" s="107"/>
      <c r="N42" s="694"/>
      <c r="O42" s="694"/>
      <c r="P42" s="107"/>
      <c r="Q42" s="694"/>
      <c r="R42" s="678"/>
      <c r="S42" s="678"/>
      <c r="T42" s="678"/>
      <c r="U42" s="678"/>
      <c r="V42" s="678"/>
      <c r="W42" s="679"/>
      <c r="X42"/>
      <c r="Y42"/>
    </row>
    <row r="43" spans="1:25">
      <c r="A43" s="182"/>
      <c r="B43" s="217"/>
      <c r="C43" s="695"/>
      <c r="D43" s="697"/>
      <c r="E43" s="697"/>
      <c r="F43" s="697"/>
      <c r="G43" s="697"/>
      <c r="H43" s="697"/>
      <c r="I43" s="695"/>
      <c r="J43" s="695"/>
      <c r="K43" s="697"/>
      <c r="L43" s="697"/>
      <c r="M43" s="697"/>
      <c r="N43" s="695"/>
      <c r="O43" s="695"/>
      <c r="P43" s="697"/>
      <c r="Q43" s="695"/>
      <c r="R43" s="680"/>
      <c r="S43" s="680"/>
      <c r="T43" s="680"/>
      <c r="U43" s="680"/>
      <c r="V43" s="680"/>
      <c r="W43" s="681"/>
      <c r="X43"/>
      <c r="Y43"/>
    </row>
    <row r="44" spans="1:25" s="1" customFormat="1">
      <c r="A44" s="182"/>
      <c r="B44" s="31"/>
      <c r="C44" s="694"/>
      <c r="D44" s="107"/>
      <c r="E44" s="107"/>
      <c r="F44" s="107"/>
      <c r="G44" s="107"/>
      <c r="H44" s="107"/>
      <c r="I44" s="694"/>
      <c r="J44" s="694"/>
      <c r="K44" s="107"/>
      <c r="L44" s="107"/>
      <c r="M44" s="107"/>
      <c r="N44" s="694"/>
      <c r="O44" s="694"/>
      <c r="P44" s="107"/>
      <c r="Q44" s="694"/>
      <c r="R44" s="678"/>
      <c r="S44" s="678"/>
      <c r="T44" s="678"/>
      <c r="U44" s="678"/>
      <c r="V44" s="678"/>
      <c r="W44" s="679"/>
      <c r="X44"/>
      <c r="Y44"/>
    </row>
    <row r="45" spans="1:25">
      <c r="A45" s="182"/>
      <c r="B45" s="31"/>
      <c r="C45" s="694"/>
      <c r="D45" s="107"/>
      <c r="E45" s="107"/>
      <c r="F45" s="107"/>
      <c r="G45" s="107"/>
      <c r="H45" s="107"/>
      <c r="I45" s="694"/>
      <c r="J45" s="694"/>
      <c r="K45" s="107"/>
      <c r="L45" s="107"/>
      <c r="M45" s="107"/>
      <c r="N45" s="694"/>
      <c r="O45" s="694"/>
      <c r="P45" s="107"/>
      <c r="Q45" s="694"/>
      <c r="R45" s="678"/>
      <c r="S45" s="678"/>
      <c r="T45" s="678"/>
      <c r="U45" s="678"/>
      <c r="V45" s="678"/>
      <c r="W45" s="679"/>
      <c r="X45"/>
      <c r="Y45"/>
    </row>
    <row r="46" spans="1:25" s="1" customFormat="1">
      <c r="A46" s="182"/>
      <c r="B46" s="223"/>
      <c r="C46" s="695"/>
      <c r="D46" s="697"/>
      <c r="E46" s="697"/>
      <c r="F46" s="697"/>
      <c r="G46" s="697"/>
      <c r="H46" s="697"/>
      <c r="I46" s="695"/>
      <c r="J46" s="695"/>
      <c r="K46" s="697"/>
      <c r="L46" s="697"/>
      <c r="M46" s="697"/>
      <c r="N46" s="695"/>
      <c r="O46" s="695"/>
      <c r="P46" s="697"/>
      <c r="Q46" s="695"/>
      <c r="R46" s="682"/>
      <c r="S46" s="682"/>
      <c r="T46" s="682"/>
      <c r="U46" s="682"/>
      <c r="V46" s="682"/>
      <c r="W46" s="683"/>
      <c r="X46"/>
      <c r="Y46"/>
    </row>
    <row r="47" spans="1:25">
      <c r="A47" s="185"/>
      <c r="B47" s="243"/>
      <c r="C47" s="696"/>
      <c r="D47" s="698"/>
      <c r="E47" s="698"/>
      <c r="F47" s="698"/>
      <c r="G47" s="698"/>
      <c r="H47" s="698"/>
      <c r="I47" s="696"/>
      <c r="J47" s="696"/>
      <c r="K47" s="698"/>
      <c r="L47" s="698"/>
      <c r="M47" s="698"/>
      <c r="N47" s="696"/>
      <c r="O47" s="696"/>
      <c r="P47" s="698"/>
      <c r="Q47" s="696"/>
      <c r="R47" s="684"/>
      <c r="S47" s="684"/>
      <c r="T47" s="684"/>
      <c r="U47" s="684"/>
      <c r="V47" s="684"/>
      <c r="W47" s="685"/>
      <c r="X47"/>
      <c r="Y47"/>
    </row>
    <row r="48" spans="1:25" s="1" customFormat="1">
      <c r="A48" s="669"/>
      <c r="B48" s="667"/>
      <c r="C48" s="692"/>
      <c r="D48" s="693"/>
      <c r="E48" s="693"/>
      <c r="F48" s="693"/>
      <c r="G48" s="693"/>
      <c r="H48" s="693"/>
      <c r="I48" s="692"/>
      <c r="J48" s="692"/>
      <c r="K48" s="693"/>
      <c r="L48" s="693"/>
      <c r="M48" s="693"/>
      <c r="N48" s="692"/>
      <c r="O48" s="692"/>
      <c r="P48" s="693"/>
      <c r="Q48" s="692"/>
      <c r="R48" s="676"/>
      <c r="S48" s="676"/>
      <c r="T48" s="676"/>
      <c r="U48" s="676"/>
      <c r="V48" s="676"/>
      <c r="W48" s="677"/>
      <c r="X48"/>
      <c r="Y48"/>
    </row>
    <row r="49" spans="1:25">
      <c r="A49" s="182"/>
      <c r="B49" s="31"/>
      <c r="C49" s="694"/>
      <c r="D49" s="107"/>
      <c r="E49" s="107"/>
      <c r="F49" s="107"/>
      <c r="G49" s="107"/>
      <c r="H49" s="107"/>
      <c r="I49" s="694"/>
      <c r="J49" s="694"/>
      <c r="K49" s="107"/>
      <c r="L49" s="107"/>
      <c r="M49" s="107"/>
      <c r="N49" s="694"/>
      <c r="O49" s="694"/>
      <c r="P49" s="107"/>
      <c r="Q49" s="694"/>
      <c r="R49" s="678"/>
      <c r="S49" s="678"/>
      <c r="T49" s="678"/>
      <c r="U49" s="678"/>
      <c r="V49" s="678"/>
      <c r="W49" s="679"/>
      <c r="X49"/>
      <c r="Y49"/>
    </row>
    <row r="50" spans="1:25" s="1" customFormat="1">
      <c r="A50" s="182"/>
      <c r="B50" s="217"/>
      <c r="C50" s="695"/>
      <c r="D50" s="697"/>
      <c r="E50" s="697"/>
      <c r="F50" s="697"/>
      <c r="G50" s="697"/>
      <c r="H50" s="697"/>
      <c r="I50" s="695"/>
      <c r="J50" s="695"/>
      <c r="K50" s="697"/>
      <c r="L50" s="697"/>
      <c r="M50" s="697"/>
      <c r="N50" s="695"/>
      <c r="O50" s="695"/>
      <c r="P50" s="697"/>
      <c r="Q50" s="695"/>
      <c r="R50" s="680"/>
      <c r="S50" s="680"/>
      <c r="T50" s="680"/>
      <c r="U50" s="680"/>
      <c r="V50" s="680"/>
      <c r="W50" s="681"/>
      <c r="X50"/>
      <c r="Y50"/>
    </row>
    <row r="51" spans="1:25">
      <c r="A51" s="182"/>
      <c r="B51" s="31"/>
      <c r="C51" s="694"/>
      <c r="D51" s="107"/>
      <c r="E51" s="107"/>
      <c r="F51" s="107"/>
      <c r="G51" s="107"/>
      <c r="H51" s="107"/>
      <c r="I51" s="694"/>
      <c r="J51" s="694"/>
      <c r="K51" s="107"/>
      <c r="L51" s="107"/>
      <c r="M51" s="107"/>
      <c r="N51" s="694"/>
      <c r="O51" s="694"/>
      <c r="P51" s="107"/>
      <c r="Q51" s="694"/>
      <c r="R51" s="678"/>
      <c r="S51" s="678"/>
      <c r="T51" s="678"/>
      <c r="U51" s="678"/>
      <c r="V51" s="678"/>
      <c r="W51" s="679"/>
      <c r="X51"/>
      <c r="Y51"/>
    </row>
    <row r="52" spans="1:25" s="1" customFormat="1">
      <c r="A52" s="182"/>
      <c r="B52" s="31"/>
      <c r="C52" s="694"/>
      <c r="D52" s="107"/>
      <c r="E52" s="107"/>
      <c r="F52" s="107"/>
      <c r="G52" s="107"/>
      <c r="H52" s="107"/>
      <c r="I52" s="694"/>
      <c r="J52" s="694"/>
      <c r="K52" s="107"/>
      <c r="L52" s="107"/>
      <c r="M52" s="107"/>
      <c r="N52" s="694"/>
      <c r="O52" s="694"/>
      <c r="P52" s="107"/>
      <c r="Q52" s="694"/>
      <c r="R52" s="678"/>
      <c r="S52" s="678"/>
      <c r="T52" s="678"/>
      <c r="U52" s="678"/>
      <c r="V52" s="678"/>
      <c r="W52" s="679"/>
      <c r="X52"/>
      <c r="Y52"/>
    </row>
    <row r="53" spans="1:25">
      <c r="A53" s="182"/>
      <c r="B53" s="223"/>
      <c r="C53" s="695"/>
      <c r="D53" s="697"/>
      <c r="E53" s="697"/>
      <c r="F53" s="697"/>
      <c r="G53" s="697"/>
      <c r="H53" s="697"/>
      <c r="I53" s="695"/>
      <c r="J53" s="695"/>
      <c r="K53" s="697"/>
      <c r="L53" s="697"/>
      <c r="M53" s="697"/>
      <c r="N53" s="695"/>
      <c r="O53" s="695"/>
      <c r="P53" s="697"/>
      <c r="Q53" s="695"/>
      <c r="R53" s="682"/>
      <c r="S53" s="682"/>
      <c r="T53" s="682"/>
      <c r="U53" s="682"/>
      <c r="V53" s="682"/>
      <c r="W53" s="683"/>
      <c r="X53"/>
      <c r="Y53"/>
    </row>
    <row r="54" spans="1:25" s="1" customFormat="1">
      <c r="A54" s="185"/>
      <c r="B54" s="243"/>
      <c r="C54" s="696"/>
      <c r="D54" s="698"/>
      <c r="E54" s="698"/>
      <c r="F54" s="698"/>
      <c r="G54" s="698"/>
      <c r="H54" s="698"/>
      <c r="I54" s="696"/>
      <c r="J54" s="696"/>
      <c r="K54" s="698"/>
      <c r="L54" s="698"/>
      <c r="M54" s="698"/>
      <c r="N54" s="696"/>
      <c r="O54" s="696"/>
      <c r="P54" s="698"/>
      <c r="Q54" s="696"/>
      <c r="R54" s="684"/>
      <c r="S54" s="684"/>
      <c r="T54" s="684"/>
      <c r="U54" s="684"/>
      <c r="V54" s="684"/>
      <c r="W54" s="685"/>
      <c r="X54"/>
      <c r="Y54"/>
    </row>
    <row r="55" spans="1:25">
      <c r="A55" s="669"/>
      <c r="B55" s="667"/>
      <c r="C55" s="692"/>
      <c r="D55" s="693"/>
      <c r="E55" s="693"/>
      <c r="F55" s="693"/>
      <c r="G55" s="693"/>
      <c r="H55" s="693"/>
      <c r="I55" s="692"/>
      <c r="J55" s="692"/>
      <c r="K55" s="693"/>
      <c r="L55" s="693"/>
      <c r="M55" s="693"/>
      <c r="N55" s="692"/>
      <c r="O55" s="692"/>
      <c r="P55" s="693"/>
      <c r="Q55" s="692"/>
      <c r="R55" s="676"/>
      <c r="S55" s="676"/>
      <c r="T55" s="676"/>
      <c r="U55" s="676"/>
      <c r="V55" s="676"/>
      <c r="W55" s="677"/>
      <c r="X55"/>
      <c r="Y55"/>
    </row>
    <row r="56" spans="1:25" s="1" customFormat="1">
      <c r="A56" s="182"/>
      <c r="B56" s="31"/>
      <c r="C56" s="694"/>
      <c r="D56" s="107"/>
      <c r="E56" s="107"/>
      <c r="F56" s="107"/>
      <c r="G56" s="107"/>
      <c r="H56" s="107"/>
      <c r="I56" s="694"/>
      <c r="J56" s="694"/>
      <c r="K56" s="107"/>
      <c r="L56" s="107"/>
      <c r="M56" s="107"/>
      <c r="N56" s="694"/>
      <c r="O56" s="694"/>
      <c r="P56" s="107"/>
      <c r="Q56" s="694"/>
      <c r="R56" s="678"/>
      <c r="S56" s="678"/>
      <c r="T56" s="678"/>
      <c r="U56" s="678"/>
      <c r="V56" s="678"/>
      <c r="W56" s="679"/>
      <c r="X56"/>
      <c r="Y56"/>
    </row>
    <row r="57" spans="1:25">
      <c r="A57" s="182"/>
      <c r="B57" s="217"/>
      <c r="C57" s="695"/>
      <c r="D57" s="697"/>
      <c r="E57" s="697"/>
      <c r="F57" s="697"/>
      <c r="G57" s="697"/>
      <c r="H57" s="697"/>
      <c r="I57" s="695"/>
      <c r="J57" s="695"/>
      <c r="K57" s="697"/>
      <c r="L57" s="697"/>
      <c r="M57" s="697"/>
      <c r="N57" s="695"/>
      <c r="O57" s="695"/>
      <c r="P57" s="697"/>
      <c r="Q57" s="695"/>
      <c r="R57" s="680"/>
      <c r="S57" s="680"/>
      <c r="T57" s="680"/>
      <c r="U57" s="680"/>
      <c r="V57" s="680"/>
      <c r="W57" s="681"/>
      <c r="X57"/>
      <c r="Y57"/>
    </row>
    <row r="58" spans="1:25" s="1" customFormat="1">
      <c r="A58" s="182"/>
      <c r="B58" s="31"/>
      <c r="C58" s="694"/>
      <c r="D58" s="107"/>
      <c r="E58" s="107"/>
      <c r="F58" s="107"/>
      <c r="G58" s="107"/>
      <c r="H58" s="107"/>
      <c r="I58" s="694"/>
      <c r="J58" s="694"/>
      <c r="K58" s="107"/>
      <c r="L58" s="107"/>
      <c r="M58" s="107"/>
      <c r="N58" s="694"/>
      <c r="O58" s="694"/>
      <c r="P58" s="107"/>
      <c r="Q58" s="694"/>
      <c r="R58" s="678"/>
      <c r="S58" s="678"/>
      <c r="T58" s="678"/>
      <c r="U58" s="678"/>
      <c r="V58" s="678"/>
      <c r="W58" s="679"/>
      <c r="X58"/>
      <c r="Y58"/>
    </row>
    <row r="59" spans="1:25">
      <c r="A59" s="182"/>
      <c r="B59" s="31"/>
      <c r="C59" s="694"/>
      <c r="D59" s="107"/>
      <c r="E59" s="107"/>
      <c r="F59" s="107"/>
      <c r="G59" s="107"/>
      <c r="H59" s="107"/>
      <c r="I59" s="694"/>
      <c r="J59" s="694"/>
      <c r="K59" s="107"/>
      <c r="L59" s="107"/>
      <c r="M59" s="107"/>
      <c r="N59" s="694"/>
      <c r="O59" s="694"/>
      <c r="P59" s="107"/>
      <c r="Q59" s="694"/>
      <c r="R59" s="678"/>
      <c r="S59" s="678"/>
      <c r="T59" s="678"/>
      <c r="U59" s="678"/>
      <c r="V59" s="678"/>
      <c r="W59" s="679"/>
      <c r="X59"/>
      <c r="Y59"/>
    </row>
    <row r="60" spans="1:25" s="1" customFormat="1">
      <c r="A60" s="182"/>
      <c r="B60" s="223"/>
      <c r="C60" s="695"/>
      <c r="D60" s="697"/>
      <c r="E60" s="697"/>
      <c r="F60" s="697"/>
      <c r="G60" s="697"/>
      <c r="H60" s="697"/>
      <c r="I60" s="695"/>
      <c r="J60" s="695"/>
      <c r="K60" s="697"/>
      <c r="L60" s="697"/>
      <c r="M60" s="697"/>
      <c r="N60" s="695"/>
      <c r="O60" s="695"/>
      <c r="P60" s="697"/>
      <c r="Q60" s="695"/>
      <c r="R60" s="682"/>
      <c r="S60" s="682"/>
      <c r="T60" s="682"/>
      <c r="U60" s="682"/>
      <c r="V60" s="682"/>
      <c r="W60" s="683"/>
      <c r="X60"/>
      <c r="Y60"/>
    </row>
    <row r="61" spans="1:25">
      <c r="A61" s="185"/>
      <c r="B61" s="243"/>
      <c r="C61" s="696"/>
      <c r="D61" s="698"/>
      <c r="E61" s="698"/>
      <c r="F61" s="698"/>
      <c r="G61" s="698"/>
      <c r="H61" s="698"/>
      <c r="I61" s="696"/>
      <c r="J61" s="696"/>
      <c r="K61" s="698"/>
      <c r="L61" s="698"/>
      <c r="M61" s="698"/>
      <c r="N61" s="696"/>
      <c r="O61" s="696"/>
      <c r="P61" s="698"/>
      <c r="Q61" s="696"/>
      <c r="R61" s="684"/>
      <c r="S61" s="684"/>
      <c r="T61" s="684"/>
      <c r="U61" s="684"/>
      <c r="V61" s="684"/>
      <c r="W61" s="685"/>
      <c r="X61"/>
      <c r="Y61"/>
    </row>
    <row r="62" spans="1:25" s="1" customFormat="1">
      <c r="A62" s="669"/>
      <c r="B62" s="667"/>
      <c r="C62" s="692"/>
      <c r="D62" s="693"/>
      <c r="E62" s="693"/>
      <c r="F62" s="693"/>
      <c r="G62" s="693"/>
      <c r="H62" s="693"/>
      <c r="I62" s="692"/>
      <c r="J62" s="692"/>
      <c r="K62" s="693"/>
      <c r="L62" s="693"/>
      <c r="M62" s="693"/>
      <c r="N62" s="692"/>
      <c r="O62" s="692"/>
      <c r="P62" s="693"/>
      <c r="Q62" s="692"/>
      <c r="R62" s="676"/>
      <c r="S62" s="676"/>
      <c r="T62" s="676"/>
      <c r="U62" s="676"/>
      <c r="V62" s="676"/>
      <c r="W62" s="677"/>
      <c r="X62"/>
      <c r="Y62"/>
    </row>
    <row r="63" spans="1:25">
      <c r="A63" s="182"/>
      <c r="B63" s="31"/>
      <c r="C63" s="694"/>
      <c r="D63" s="107"/>
      <c r="E63" s="107"/>
      <c r="F63" s="107"/>
      <c r="G63" s="107"/>
      <c r="H63" s="107"/>
      <c r="I63" s="694"/>
      <c r="J63" s="694"/>
      <c r="K63" s="107"/>
      <c r="L63" s="107"/>
      <c r="M63" s="107"/>
      <c r="N63" s="694"/>
      <c r="O63" s="694"/>
      <c r="P63" s="107"/>
      <c r="Q63" s="694"/>
      <c r="R63" s="678"/>
      <c r="S63" s="678"/>
      <c r="T63" s="678"/>
      <c r="U63" s="678"/>
      <c r="V63" s="678"/>
      <c r="W63" s="679"/>
      <c r="X63"/>
      <c r="Y63"/>
    </row>
    <row r="64" spans="1:25" s="1" customFormat="1">
      <c r="A64" s="182"/>
      <c r="B64" s="217"/>
      <c r="C64" s="695"/>
      <c r="D64" s="697"/>
      <c r="E64" s="697"/>
      <c r="F64" s="697"/>
      <c r="G64" s="697"/>
      <c r="H64" s="697"/>
      <c r="I64" s="695"/>
      <c r="J64" s="695"/>
      <c r="K64" s="697"/>
      <c r="L64" s="697"/>
      <c r="M64" s="697"/>
      <c r="N64" s="695"/>
      <c r="O64" s="695"/>
      <c r="P64" s="697"/>
      <c r="Q64" s="695"/>
      <c r="R64" s="680"/>
      <c r="S64" s="680"/>
      <c r="T64" s="680"/>
      <c r="U64" s="680"/>
      <c r="V64" s="680"/>
      <c r="W64" s="681"/>
      <c r="X64"/>
      <c r="Y64"/>
    </row>
    <row r="65" spans="1:25">
      <c r="A65" s="182"/>
      <c r="B65" s="31"/>
      <c r="C65" s="694"/>
      <c r="D65" s="107"/>
      <c r="E65" s="107"/>
      <c r="F65" s="107"/>
      <c r="G65" s="107"/>
      <c r="H65" s="107"/>
      <c r="I65" s="694"/>
      <c r="J65" s="694"/>
      <c r="K65" s="107"/>
      <c r="L65" s="107"/>
      <c r="M65" s="107"/>
      <c r="N65" s="694"/>
      <c r="O65" s="694"/>
      <c r="P65" s="107"/>
      <c r="Q65" s="694"/>
      <c r="R65" s="678"/>
      <c r="S65" s="678"/>
      <c r="T65" s="678"/>
      <c r="U65" s="678"/>
      <c r="V65" s="678"/>
      <c r="W65" s="679"/>
      <c r="X65"/>
      <c r="Y65"/>
    </row>
    <row r="66" spans="1:25" s="1" customFormat="1">
      <c r="A66" s="182"/>
      <c r="B66" s="31"/>
      <c r="C66" s="694"/>
      <c r="D66" s="107"/>
      <c r="E66" s="107"/>
      <c r="F66" s="107"/>
      <c r="G66" s="107"/>
      <c r="H66" s="107"/>
      <c r="I66" s="694"/>
      <c r="J66" s="694"/>
      <c r="K66" s="107"/>
      <c r="L66" s="107"/>
      <c r="M66" s="107"/>
      <c r="N66" s="694"/>
      <c r="O66" s="694"/>
      <c r="P66" s="107"/>
      <c r="Q66" s="694"/>
      <c r="R66" s="678"/>
      <c r="S66" s="678"/>
      <c r="T66" s="678"/>
      <c r="U66" s="678"/>
      <c r="V66" s="678"/>
      <c r="W66" s="679"/>
      <c r="X66"/>
      <c r="Y66"/>
    </row>
    <row r="67" spans="1:25">
      <c r="A67" s="182"/>
      <c r="B67" s="223"/>
      <c r="C67" s="695"/>
      <c r="D67" s="697"/>
      <c r="E67" s="697"/>
      <c r="F67" s="697"/>
      <c r="G67" s="697"/>
      <c r="H67" s="697"/>
      <c r="I67" s="695"/>
      <c r="J67" s="695"/>
      <c r="K67" s="697"/>
      <c r="L67" s="697"/>
      <c r="M67" s="697"/>
      <c r="N67" s="695"/>
      <c r="O67" s="695"/>
      <c r="P67" s="697"/>
      <c r="Q67" s="695"/>
      <c r="R67" s="682"/>
      <c r="S67" s="682"/>
      <c r="T67" s="682"/>
      <c r="U67" s="682"/>
      <c r="V67" s="682"/>
      <c r="W67" s="683"/>
      <c r="X67"/>
      <c r="Y67"/>
    </row>
    <row r="68" spans="1:25" s="1" customFormat="1">
      <c r="A68" s="182"/>
      <c r="B68" s="243"/>
      <c r="C68" s="696"/>
      <c r="D68" s="698"/>
      <c r="E68" s="698"/>
      <c r="F68" s="698"/>
      <c r="G68" s="698"/>
      <c r="H68" s="698"/>
      <c r="I68" s="696"/>
      <c r="J68" s="696"/>
      <c r="K68" s="698"/>
      <c r="L68" s="698"/>
      <c r="M68" s="698"/>
      <c r="N68" s="696"/>
      <c r="O68" s="696"/>
      <c r="P68" s="698"/>
      <c r="Q68" s="696"/>
      <c r="R68" s="684"/>
      <c r="S68" s="684"/>
      <c r="T68" s="684"/>
      <c r="U68" s="684"/>
      <c r="V68" s="684"/>
      <c r="W68" s="685"/>
      <c r="X68"/>
      <c r="Y68"/>
    </row>
    <row r="69" spans="1:25">
      <c r="A69" s="669"/>
      <c r="B69" s="667"/>
      <c r="C69" s="692"/>
      <c r="D69" s="693"/>
      <c r="E69" s="693"/>
      <c r="F69" s="693"/>
      <c r="G69" s="693"/>
      <c r="H69" s="693"/>
      <c r="I69" s="692"/>
      <c r="J69" s="692"/>
      <c r="K69" s="693"/>
      <c r="L69" s="693"/>
      <c r="M69" s="693"/>
      <c r="N69" s="692"/>
      <c r="O69" s="692"/>
      <c r="P69" s="693"/>
      <c r="Q69" s="692"/>
      <c r="R69" s="676"/>
      <c r="S69" s="676"/>
      <c r="T69" s="676"/>
      <c r="U69" s="676"/>
      <c r="V69" s="676"/>
      <c r="W69" s="677"/>
      <c r="X69"/>
      <c r="Y69"/>
    </row>
    <row r="70" spans="1:25" s="1" customFormat="1">
      <c r="A70" s="182"/>
      <c r="B70" s="31"/>
      <c r="C70" s="694"/>
      <c r="D70" s="107"/>
      <c r="E70" s="107"/>
      <c r="F70" s="107"/>
      <c r="G70" s="107"/>
      <c r="H70" s="107"/>
      <c r="I70" s="694"/>
      <c r="J70" s="694"/>
      <c r="K70" s="107"/>
      <c r="L70" s="107"/>
      <c r="M70" s="107"/>
      <c r="N70" s="694"/>
      <c r="O70" s="694"/>
      <c r="P70" s="107"/>
      <c r="Q70" s="694"/>
      <c r="R70" s="678"/>
      <c r="S70" s="678"/>
      <c r="T70" s="678"/>
      <c r="U70" s="678"/>
      <c r="V70" s="678"/>
      <c r="W70" s="679"/>
      <c r="X70"/>
      <c r="Y70"/>
    </row>
    <row r="71" spans="1:25">
      <c r="A71" s="182"/>
      <c r="B71" s="217"/>
      <c r="C71" s="695"/>
      <c r="D71" s="697"/>
      <c r="E71" s="697"/>
      <c r="F71" s="697"/>
      <c r="G71" s="697"/>
      <c r="H71" s="697"/>
      <c r="I71" s="695"/>
      <c r="J71" s="695"/>
      <c r="K71" s="697"/>
      <c r="L71" s="697"/>
      <c r="M71" s="697"/>
      <c r="N71" s="695"/>
      <c r="O71" s="695"/>
      <c r="P71" s="697"/>
      <c r="Q71" s="695"/>
      <c r="R71" s="680"/>
      <c r="S71" s="680"/>
      <c r="T71" s="680"/>
      <c r="U71" s="680"/>
      <c r="V71" s="680"/>
      <c r="W71" s="681"/>
      <c r="X71"/>
      <c r="Y71"/>
    </row>
    <row r="72" spans="1:25" s="1" customFormat="1">
      <c r="A72" s="182"/>
      <c r="B72" s="31"/>
      <c r="C72" s="694"/>
      <c r="D72" s="107"/>
      <c r="E72" s="107"/>
      <c r="F72" s="107"/>
      <c r="G72" s="107"/>
      <c r="H72" s="107"/>
      <c r="I72" s="694"/>
      <c r="J72" s="694"/>
      <c r="K72" s="107"/>
      <c r="L72" s="107"/>
      <c r="M72" s="107"/>
      <c r="N72" s="694"/>
      <c r="O72" s="694"/>
      <c r="P72" s="107"/>
      <c r="Q72" s="694"/>
      <c r="R72" s="678"/>
      <c r="S72" s="678"/>
      <c r="T72" s="678"/>
      <c r="U72" s="678"/>
      <c r="V72" s="678"/>
      <c r="W72" s="679"/>
      <c r="X72"/>
      <c r="Y72"/>
    </row>
    <row r="73" spans="1:25">
      <c r="A73" s="182"/>
      <c r="B73" s="31"/>
      <c r="C73" s="694"/>
      <c r="D73" s="107"/>
      <c r="E73" s="107"/>
      <c r="F73" s="107"/>
      <c r="G73" s="107"/>
      <c r="H73" s="107"/>
      <c r="I73" s="694"/>
      <c r="J73" s="694"/>
      <c r="K73" s="107"/>
      <c r="L73" s="107"/>
      <c r="M73" s="107"/>
      <c r="N73" s="694"/>
      <c r="O73" s="694"/>
      <c r="P73" s="107"/>
      <c r="Q73" s="694"/>
      <c r="R73" s="678"/>
      <c r="S73" s="678"/>
      <c r="T73" s="678"/>
      <c r="U73" s="678"/>
      <c r="V73" s="678"/>
      <c r="W73" s="679"/>
      <c r="X73"/>
      <c r="Y73"/>
    </row>
    <row r="74" spans="1:25" s="1" customFormat="1">
      <c r="A74" s="182"/>
      <c r="B74" s="223"/>
      <c r="C74" s="695"/>
      <c r="D74" s="697"/>
      <c r="E74" s="697"/>
      <c r="F74" s="697"/>
      <c r="G74" s="697"/>
      <c r="H74" s="697"/>
      <c r="I74" s="695"/>
      <c r="J74" s="695"/>
      <c r="K74" s="697"/>
      <c r="L74" s="697"/>
      <c r="M74" s="697"/>
      <c r="N74" s="695"/>
      <c r="O74" s="695"/>
      <c r="P74" s="697"/>
      <c r="Q74" s="695"/>
      <c r="R74" s="682"/>
      <c r="S74" s="682"/>
      <c r="T74" s="682"/>
      <c r="U74" s="682"/>
      <c r="V74" s="682"/>
      <c r="W74" s="683"/>
      <c r="X74"/>
      <c r="Y74"/>
    </row>
    <row r="75" spans="1:25">
      <c r="A75" s="182"/>
      <c r="B75" s="243"/>
      <c r="C75" s="696"/>
      <c r="D75" s="698"/>
      <c r="E75" s="698"/>
      <c r="F75" s="698"/>
      <c r="G75" s="698"/>
      <c r="H75" s="698"/>
      <c r="I75" s="696"/>
      <c r="J75" s="696"/>
      <c r="K75" s="698"/>
      <c r="L75" s="698"/>
      <c r="M75" s="698"/>
      <c r="N75" s="696"/>
      <c r="O75" s="696"/>
      <c r="P75" s="698"/>
      <c r="Q75" s="696"/>
      <c r="R75" s="684"/>
      <c r="S75" s="684"/>
      <c r="T75" s="684"/>
      <c r="U75" s="684"/>
      <c r="V75" s="684"/>
      <c r="W75" s="685"/>
      <c r="X75"/>
      <c r="Y75"/>
    </row>
    <row r="76" spans="1:25" s="1" customFormat="1">
      <c r="A76" s="669"/>
      <c r="B76" s="667"/>
      <c r="C76" s="692"/>
      <c r="D76" s="693"/>
      <c r="E76" s="693"/>
      <c r="F76" s="693"/>
      <c r="G76" s="693"/>
      <c r="H76" s="693"/>
      <c r="I76" s="692"/>
      <c r="J76" s="692"/>
      <c r="K76" s="693"/>
      <c r="L76" s="693"/>
      <c r="M76" s="693"/>
      <c r="N76" s="692"/>
      <c r="O76" s="692"/>
      <c r="P76" s="693"/>
      <c r="Q76" s="692"/>
      <c r="R76" s="676"/>
      <c r="S76" s="676"/>
      <c r="T76" s="676"/>
      <c r="U76" s="676"/>
      <c r="V76" s="676"/>
      <c r="W76" s="677"/>
      <c r="X76"/>
      <c r="Y76"/>
    </row>
    <row r="77" spans="1:25">
      <c r="A77" s="182"/>
      <c r="B77" s="31"/>
      <c r="C77" s="694"/>
      <c r="D77" s="107"/>
      <c r="E77" s="107"/>
      <c r="F77" s="107"/>
      <c r="G77" s="107"/>
      <c r="H77" s="107"/>
      <c r="I77" s="694"/>
      <c r="J77" s="694"/>
      <c r="K77" s="107"/>
      <c r="L77" s="107"/>
      <c r="M77" s="107"/>
      <c r="N77" s="694"/>
      <c r="O77" s="694"/>
      <c r="P77" s="107"/>
      <c r="Q77" s="694"/>
      <c r="R77" s="678"/>
      <c r="S77" s="678"/>
      <c r="T77" s="678"/>
      <c r="U77" s="678"/>
      <c r="V77" s="678"/>
      <c r="W77" s="679"/>
      <c r="X77"/>
      <c r="Y77"/>
    </row>
    <row r="78" spans="1:25" s="1" customFormat="1">
      <c r="A78" s="182"/>
      <c r="B78" s="217"/>
      <c r="C78" s="695"/>
      <c r="D78" s="697"/>
      <c r="E78" s="697"/>
      <c r="F78" s="697"/>
      <c r="G78" s="697"/>
      <c r="H78" s="697"/>
      <c r="I78" s="695"/>
      <c r="J78" s="695"/>
      <c r="K78" s="697"/>
      <c r="L78" s="697"/>
      <c r="M78" s="697"/>
      <c r="N78" s="695"/>
      <c r="O78" s="695"/>
      <c r="P78" s="697"/>
      <c r="Q78" s="695"/>
      <c r="R78" s="680"/>
      <c r="S78" s="680"/>
      <c r="T78" s="680"/>
      <c r="U78" s="680"/>
      <c r="V78" s="680"/>
      <c r="W78" s="681"/>
      <c r="X78"/>
      <c r="Y78"/>
    </row>
    <row r="79" spans="1:25">
      <c r="A79" s="182"/>
      <c r="B79" s="31"/>
      <c r="C79" s="694"/>
      <c r="D79" s="107"/>
      <c r="E79" s="107"/>
      <c r="F79" s="107"/>
      <c r="G79" s="107"/>
      <c r="H79" s="107"/>
      <c r="I79" s="694"/>
      <c r="J79" s="694"/>
      <c r="K79" s="107"/>
      <c r="L79" s="107"/>
      <c r="M79" s="107"/>
      <c r="N79" s="694"/>
      <c r="O79" s="694"/>
      <c r="P79" s="107"/>
      <c r="Q79" s="694"/>
      <c r="R79" s="678"/>
      <c r="S79" s="678"/>
      <c r="T79" s="678"/>
      <c r="U79" s="678"/>
      <c r="V79" s="678"/>
      <c r="W79" s="679"/>
      <c r="X79"/>
      <c r="Y79"/>
    </row>
    <row r="80" spans="1:25" s="1" customFormat="1">
      <c r="A80" s="182"/>
      <c r="B80" s="31"/>
      <c r="C80" s="694"/>
      <c r="D80" s="107"/>
      <c r="E80" s="107"/>
      <c r="F80" s="107"/>
      <c r="G80" s="107"/>
      <c r="H80" s="107"/>
      <c r="I80" s="694"/>
      <c r="J80" s="694"/>
      <c r="K80" s="107"/>
      <c r="L80" s="107"/>
      <c r="M80" s="107"/>
      <c r="N80" s="694"/>
      <c r="O80" s="694"/>
      <c r="P80" s="107"/>
      <c r="Q80" s="694"/>
      <c r="R80" s="678"/>
      <c r="S80" s="678"/>
      <c r="T80" s="678"/>
      <c r="U80" s="678"/>
      <c r="V80" s="678"/>
      <c r="W80" s="679"/>
      <c r="X80"/>
      <c r="Y80"/>
    </row>
    <row r="81" spans="1:25">
      <c r="A81" s="182"/>
      <c r="B81" s="223"/>
      <c r="C81" s="695"/>
      <c r="D81" s="697"/>
      <c r="E81" s="697"/>
      <c r="F81" s="697"/>
      <c r="G81" s="697"/>
      <c r="H81" s="697"/>
      <c r="I81" s="695"/>
      <c r="J81" s="695"/>
      <c r="K81" s="697"/>
      <c r="L81" s="697"/>
      <c r="M81" s="697"/>
      <c r="N81" s="695"/>
      <c r="O81" s="695"/>
      <c r="P81" s="697"/>
      <c r="Q81" s="695"/>
      <c r="R81" s="682"/>
      <c r="S81" s="682"/>
      <c r="T81" s="682"/>
      <c r="U81" s="682"/>
      <c r="V81" s="682"/>
      <c r="W81" s="683"/>
      <c r="X81"/>
      <c r="Y81"/>
    </row>
    <row r="82" spans="1:25" s="1" customFormat="1">
      <c r="A82" s="182"/>
      <c r="B82" s="243"/>
      <c r="C82" s="696"/>
      <c r="D82" s="698"/>
      <c r="E82" s="698"/>
      <c r="F82" s="698"/>
      <c r="G82" s="698"/>
      <c r="H82" s="698"/>
      <c r="I82" s="696"/>
      <c r="J82" s="696"/>
      <c r="K82" s="698"/>
      <c r="L82" s="698"/>
      <c r="M82" s="698"/>
      <c r="N82" s="696"/>
      <c r="O82" s="696"/>
      <c r="P82" s="698"/>
      <c r="Q82" s="696"/>
      <c r="R82" s="684"/>
      <c r="S82" s="684"/>
      <c r="T82" s="684"/>
      <c r="U82" s="684"/>
      <c r="V82" s="684"/>
      <c r="W82" s="685"/>
      <c r="X82"/>
      <c r="Y82"/>
    </row>
    <row r="83" spans="1:25">
      <c r="A83" s="669"/>
      <c r="B83" s="667"/>
      <c r="C83" s="692"/>
      <c r="D83" s="693"/>
      <c r="E83" s="693"/>
      <c r="F83" s="693"/>
      <c r="G83" s="693"/>
      <c r="H83" s="693"/>
      <c r="I83" s="692"/>
      <c r="J83" s="692"/>
      <c r="K83" s="693"/>
      <c r="L83" s="693"/>
      <c r="M83" s="693"/>
      <c r="N83" s="692"/>
      <c r="O83" s="692"/>
      <c r="P83" s="693"/>
      <c r="Q83" s="692"/>
      <c r="R83" s="676"/>
      <c r="S83" s="676"/>
      <c r="T83" s="676"/>
      <c r="U83" s="676"/>
      <c r="V83" s="676"/>
      <c r="W83" s="677"/>
      <c r="X83"/>
      <c r="Y83"/>
    </row>
    <row r="84" spans="1:25" s="1" customFormat="1">
      <c r="A84" s="182"/>
      <c r="B84" s="31"/>
      <c r="C84" s="694"/>
      <c r="D84" s="107"/>
      <c r="E84" s="107"/>
      <c r="F84" s="107"/>
      <c r="G84" s="107"/>
      <c r="H84" s="107"/>
      <c r="I84" s="694"/>
      <c r="J84" s="694"/>
      <c r="K84" s="107"/>
      <c r="L84" s="107"/>
      <c r="M84" s="107"/>
      <c r="N84" s="694"/>
      <c r="O84" s="694"/>
      <c r="P84" s="107"/>
      <c r="Q84" s="694"/>
      <c r="R84" s="678"/>
      <c r="S84" s="678"/>
      <c r="T84" s="678"/>
      <c r="U84" s="678"/>
      <c r="V84" s="678"/>
      <c r="W84" s="679"/>
      <c r="X84"/>
      <c r="Y84"/>
    </row>
    <row r="85" spans="1:25">
      <c r="A85" s="182"/>
      <c r="B85" s="217"/>
      <c r="C85" s="695"/>
      <c r="D85" s="697"/>
      <c r="E85" s="697"/>
      <c r="F85" s="697"/>
      <c r="G85" s="697"/>
      <c r="H85" s="697"/>
      <c r="I85" s="695"/>
      <c r="J85" s="695"/>
      <c r="K85" s="697"/>
      <c r="L85" s="697"/>
      <c r="M85" s="697"/>
      <c r="N85" s="695"/>
      <c r="O85" s="695"/>
      <c r="P85" s="697"/>
      <c r="Q85" s="695"/>
      <c r="R85" s="680"/>
      <c r="S85" s="680"/>
      <c r="T85" s="680"/>
      <c r="U85" s="680"/>
      <c r="V85" s="680"/>
      <c r="W85" s="681"/>
      <c r="X85"/>
      <c r="Y85"/>
    </row>
    <row r="86" spans="1:25" s="1" customFormat="1">
      <c r="A86" s="182"/>
      <c r="B86" s="31"/>
      <c r="C86" s="694"/>
      <c r="D86" s="107"/>
      <c r="E86" s="107"/>
      <c r="F86" s="107"/>
      <c r="G86" s="107"/>
      <c r="H86" s="107"/>
      <c r="I86" s="694"/>
      <c r="J86" s="694"/>
      <c r="K86" s="107"/>
      <c r="L86" s="107"/>
      <c r="M86" s="107"/>
      <c r="N86" s="694"/>
      <c r="O86" s="694"/>
      <c r="P86" s="107"/>
      <c r="Q86" s="694"/>
      <c r="R86" s="678"/>
      <c r="S86" s="678"/>
      <c r="T86" s="678"/>
      <c r="U86" s="678"/>
      <c r="V86" s="678"/>
      <c r="W86" s="679"/>
      <c r="X86"/>
      <c r="Y86"/>
    </row>
    <row r="87" spans="1:25">
      <c r="A87" s="182"/>
      <c r="B87" s="31"/>
      <c r="C87" s="694"/>
      <c r="D87" s="107"/>
      <c r="E87" s="107"/>
      <c r="F87" s="107"/>
      <c r="G87" s="107"/>
      <c r="H87" s="107"/>
      <c r="I87" s="694"/>
      <c r="J87" s="694"/>
      <c r="K87" s="107"/>
      <c r="L87" s="107"/>
      <c r="M87" s="107"/>
      <c r="N87" s="694"/>
      <c r="O87" s="694"/>
      <c r="P87" s="107"/>
      <c r="Q87" s="694"/>
      <c r="R87" s="678"/>
      <c r="S87" s="678"/>
      <c r="T87" s="678"/>
      <c r="U87" s="678"/>
      <c r="V87" s="678"/>
      <c r="W87" s="679"/>
      <c r="X87"/>
      <c r="Y87"/>
    </row>
    <row r="88" spans="1:25" s="1" customFormat="1">
      <c r="A88" s="182"/>
      <c r="B88" s="223"/>
      <c r="C88" s="695"/>
      <c r="D88" s="697"/>
      <c r="E88" s="697"/>
      <c r="F88" s="697"/>
      <c r="G88" s="697"/>
      <c r="H88" s="697"/>
      <c r="I88" s="695"/>
      <c r="J88" s="695"/>
      <c r="K88" s="697"/>
      <c r="L88" s="697"/>
      <c r="M88" s="697"/>
      <c r="N88" s="695"/>
      <c r="O88" s="695"/>
      <c r="P88" s="697"/>
      <c r="Q88" s="695"/>
      <c r="R88" s="682"/>
      <c r="S88" s="682"/>
      <c r="T88" s="682"/>
      <c r="U88" s="682"/>
      <c r="V88" s="682"/>
      <c r="W88" s="683"/>
      <c r="X88"/>
      <c r="Y88"/>
    </row>
    <row r="89" spans="1:25">
      <c r="A89" s="182"/>
      <c r="B89" s="243"/>
      <c r="C89" s="696"/>
      <c r="D89" s="698"/>
      <c r="E89" s="698"/>
      <c r="F89" s="698"/>
      <c r="G89" s="698"/>
      <c r="H89" s="698"/>
      <c r="I89" s="696"/>
      <c r="J89" s="696"/>
      <c r="K89" s="698"/>
      <c r="L89" s="698"/>
      <c r="M89" s="698"/>
      <c r="N89" s="696"/>
      <c r="O89" s="696"/>
      <c r="P89" s="698"/>
      <c r="Q89" s="696"/>
      <c r="R89" s="684"/>
      <c r="S89" s="684"/>
      <c r="T89" s="684"/>
      <c r="U89" s="684"/>
      <c r="V89" s="684"/>
      <c r="W89" s="685"/>
      <c r="X89"/>
      <c r="Y89"/>
    </row>
    <row r="90" spans="1:25" s="1" customFormat="1">
      <c r="A90" s="669"/>
      <c r="B90" s="667"/>
      <c r="C90" s="692"/>
      <c r="D90" s="693"/>
      <c r="E90" s="693"/>
      <c r="F90" s="693"/>
      <c r="G90" s="693"/>
      <c r="H90" s="693"/>
      <c r="I90" s="692"/>
      <c r="J90" s="692"/>
      <c r="K90" s="693"/>
      <c r="L90" s="693"/>
      <c r="M90" s="693"/>
      <c r="N90" s="692"/>
      <c r="O90" s="692"/>
      <c r="P90" s="693"/>
      <c r="Q90" s="692"/>
      <c r="R90" s="676"/>
      <c r="S90" s="676"/>
      <c r="T90" s="676"/>
      <c r="U90" s="676"/>
      <c r="V90" s="676"/>
      <c r="W90" s="677"/>
      <c r="X90"/>
      <c r="Y90"/>
    </row>
    <row r="91" spans="1:25">
      <c r="A91" s="182"/>
      <c r="B91" s="31"/>
      <c r="C91" s="694"/>
      <c r="D91" s="107"/>
      <c r="E91" s="107"/>
      <c r="F91" s="107"/>
      <c r="G91" s="107"/>
      <c r="H91" s="107"/>
      <c r="I91" s="694"/>
      <c r="J91" s="694"/>
      <c r="K91" s="107"/>
      <c r="L91" s="107"/>
      <c r="M91" s="107"/>
      <c r="N91" s="694"/>
      <c r="O91" s="694"/>
      <c r="P91" s="107"/>
      <c r="Q91" s="694"/>
      <c r="R91" s="678"/>
      <c r="S91" s="678"/>
      <c r="T91" s="678"/>
      <c r="U91" s="678"/>
      <c r="V91" s="678"/>
      <c r="W91" s="679"/>
      <c r="X91"/>
      <c r="Y91"/>
    </row>
    <row r="92" spans="1:25" s="1" customFormat="1">
      <c r="A92" s="182"/>
      <c r="B92" s="217"/>
      <c r="C92" s="695"/>
      <c r="D92" s="697"/>
      <c r="E92" s="697"/>
      <c r="F92" s="697"/>
      <c r="G92" s="697"/>
      <c r="H92" s="697"/>
      <c r="I92" s="695"/>
      <c r="J92" s="695"/>
      <c r="K92" s="697"/>
      <c r="L92" s="697"/>
      <c r="M92" s="697"/>
      <c r="N92" s="695"/>
      <c r="O92" s="695"/>
      <c r="P92" s="697"/>
      <c r="Q92" s="695"/>
      <c r="R92" s="680"/>
      <c r="S92" s="680"/>
      <c r="T92" s="680"/>
      <c r="U92" s="680"/>
      <c r="V92" s="680"/>
      <c r="W92" s="681"/>
      <c r="X92"/>
      <c r="Y92"/>
    </row>
    <row r="93" spans="1:25">
      <c r="A93" s="182"/>
      <c r="B93" s="31"/>
      <c r="C93" s="694"/>
      <c r="D93" s="107"/>
      <c r="E93" s="107"/>
      <c r="F93" s="107"/>
      <c r="G93" s="107"/>
      <c r="H93" s="107"/>
      <c r="I93" s="694"/>
      <c r="J93" s="694"/>
      <c r="K93" s="107"/>
      <c r="L93" s="107"/>
      <c r="M93" s="107"/>
      <c r="N93" s="694"/>
      <c r="O93" s="694"/>
      <c r="P93" s="107"/>
      <c r="Q93" s="694"/>
      <c r="R93" s="678"/>
      <c r="S93" s="678"/>
      <c r="T93" s="678"/>
      <c r="U93" s="678"/>
      <c r="V93" s="678"/>
      <c r="W93" s="679"/>
      <c r="X93"/>
      <c r="Y93"/>
    </row>
    <row r="94" spans="1:25" s="1" customFormat="1">
      <c r="A94" s="182"/>
      <c r="B94" s="31"/>
      <c r="C94" s="694"/>
      <c r="D94" s="107"/>
      <c r="E94" s="107"/>
      <c r="F94" s="107"/>
      <c r="G94" s="107"/>
      <c r="H94" s="107"/>
      <c r="I94" s="694"/>
      <c r="J94" s="694"/>
      <c r="K94" s="107"/>
      <c r="L94" s="107"/>
      <c r="M94" s="107"/>
      <c r="N94" s="694"/>
      <c r="O94" s="694"/>
      <c r="P94" s="107"/>
      <c r="Q94" s="694"/>
      <c r="R94" s="678"/>
      <c r="S94" s="678"/>
      <c r="T94" s="678"/>
      <c r="U94" s="678"/>
      <c r="V94" s="678"/>
      <c r="W94" s="679"/>
      <c r="X94"/>
      <c r="Y94"/>
    </row>
    <row r="95" spans="1:25">
      <c r="A95" s="182"/>
      <c r="B95" s="223"/>
      <c r="C95" s="695"/>
      <c r="D95" s="697"/>
      <c r="E95" s="697"/>
      <c r="F95" s="697"/>
      <c r="G95" s="697"/>
      <c r="H95" s="697"/>
      <c r="I95" s="695"/>
      <c r="J95" s="695"/>
      <c r="K95" s="697"/>
      <c r="L95" s="697"/>
      <c r="M95" s="697"/>
      <c r="N95" s="695"/>
      <c r="O95" s="695"/>
      <c r="P95" s="697"/>
      <c r="Q95" s="695"/>
      <c r="R95" s="682"/>
      <c r="S95" s="682"/>
      <c r="T95" s="682"/>
      <c r="U95" s="682"/>
      <c r="V95" s="682"/>
      <c r="W95" s="683"/>
      <c r="X95"/>
      <c r="Y95"/>
    </row>
    <row r="96" spans="1:25" s="1" customFormat="1">
      <c r="A96" s="182"/>
      <c r="B96" s="243"/>
      <c r="C96" s="696"/>
      <c r="D96" s="698"/>
      <c r="E96" s="698"/>
      <c r="F96" s="698"/>
      <c r="G96" s="698"/>
      <c r="H96" s="698"/>
      <c r="I96" s="696"/>
      <c r="J96" s="696"/>
      <c r="K96" s="698"/>
      <c r="L96" s="698"/>
      <c r="M96" s="698"/>
      <c r="N96" s="696"/>
      <c r="O96" s="696"/>
      <c r="P96" s="698"/>
      <c r="Q96" s="696"/>
      <c r="R96" s="684"/>
      <c r="S96" s="684"/>
      <c r="T96" s="684"/>
      <c r="U96" s="684"/>
      <c r="V96" s="684"/>
      <c r="W96" s="685"/>
      <c r="X96"/>
      <c r="Y96"/>
    </row>
    <row r="97" spans="1:25">
      <c r="A97" s="669"/>
      <c r="B97" s="667"/>
      <c r="C97" s="692"/>
      <c r="D97" s="693"/>
      <c r="E97" s="693"/>
      <c r="F97" s="693"/>
      <c r="G97" s="693"/>
      <c r="H97" s="693"/>
      <c r="I97" s="692"/>
      <c r="J97" s="692"/>
      <c r="K97" s="693"/>
      <c r="L97" s="693"/>
      <c r="M97" s="693"/>
      <c r="N97" s="692"/>
      <c r="O97" s="692"/>
      <c r="P97" s="693"/>
      <c r="Q97" s="692"/>
      <c r="R97" s="676"/>
      <c r="S97" s="676"/>
      <c r="T97" s="676"/>
      <c r="U97" s="676"/>
      <c r="V97" s="676"/>
      <c r="W97" s="677"/>
      <c r="X97"/>
      <c r="Y97"/>
    </row>
    <row r="98" spans="1:25" s="1" customFormat="1">
      <c r="A98" s="182"/>
      <c r="B98" s="31"/>
      <c r="C98" s="694"/>
      <c r="D98" s="107"/>
      <c r="E98" s="107"/>
      <c r="F98" s="107"/>
      <c r="G98" s="107"/>
      <c r="H98" s="107"/>
      <c r="I98" s="694"/>
      <c r="J98" s="694"/>
      <c r="K98" s="107"/>
      <c r="L98" s="107"/>
      <c r="M98" s="107"/>
      <c r="N98" s="694"/>
      <c r="O98" s="694"/>
      <c r="P98" s="107"/>
      <c r="Q98" s="694"/>
      <c r="R98" s="678"/>
      <c r="S98" s="678"/>
      <c r="T98" s="678"/>
      <c r="U98" s="678"/>
      <c r="V98" s="678"/>
      <c r="W98" s="679"/>
      <c r="X98"/>
      <c r="Y98"/>
    </row>
    <row r="99" spans="1:25">
      <c r="A99" s="182"/>
      <c r="B99" s="217"/>
      <c r="C99" s="695"/>
      <c r="D99" s="697"/>
      <c r="E99" s="697"/>
      <c r="F99" s="697"/>
      <c r="G99" s="697"/>
      <c r="H99" s="697"/>
      <c r="I99" s="695"/>
      <c r="J99" s="695"/>
      <c r="K99" s="697"/>
      <c r="L99" s="697"/>
      <c r="M99" s="697"/>
      <c r="N99" s="695"/>
      <c r="O99" s="695"/>
      <c r="P99" s="697"/>
      <c r="Q99" s="695"/>
      <c r="R99" s="680"/>
      <c r="S99" s="680"/>
      <c r="T99" s="680"/>
      <c r="U99" s="680"/>
      <c r="V99" s="680"/>
      <c r="W99" s="681"/>
      <c r="X99"/>
      <c r="Y99"/>
    </row>
    <row r="100" spans="1:25" s="1" customFormat="1">
      <c r="A100" s="182"/>
      <c r="B100" s="31"/>
      <c r="C100" s="694"/>
      <c r="D100" s="107"/>
      <c r="E100" s="107"/>
      <c r="F100" s="107"/>
      <c r="G100" s="107"/>
      <c r="H100" s="107"/>
      <c r="I100" s="694"/>
      <c r="J100" s="694"/>
      <c r="K100" s="107"/>
      <c r="L100" s="107"/>
      <c r="M100" s="107"/>
      <c r="N100" s="694"/>
      <c r="O100" s="694"/>
      <c r="P100" s="107"/>
      <c r="Q100" s="694"/>
      <c r="R100" s="678"/>
      <c r="S100" s="678"/>
      <c r="T100" s="678"/>
      <c r="U100" s="678"/>
      <c r="V100" s="678"/>
      <c r="W100" s="679"/>
      <c r="X100"/>
      <c r="Y100"/>
    </row>
    <row r="101" spans="1:25">
      <c r="A101" s="182"/>
      <c r="B101" s="31"/>
      <c r="C101" s="694"/>
      <c r="D101" s="107"/>
      <c r="E101" s="107"/>
      <c r="F101" s="107"/>
      <c r="G101" s="107"/>
      <c r="H101" s="107"/>
      <c r="I101" s="694"/>
      <c r="J101" s="694"/>
      <c r="K101" s="107"/>
      <c r="L101" s="107"/>
      <c r="M101" s="107"/>
      <c r="N101" s="694"/>
      <c r="O101" s="694"/>
      <c r="P101" s="107"/>
      <c r="Q101" s="694"/>
      <c r="R101" s="678"/>
      <c r="S101" s="678"/>
      <c r="T101" s="678"/>
      <c r="U101" s="678"/>
      <c r="V101" s="678"/>
      <c r="W101" s="679"/>
      <c r="X101"/>
      <c r="Y101"/>
    </row>
    <row r="102" spans="1:25">
      <c r="A102" s="182"/>
      <c r="B102" s="223"/>
      <c r="C102" s="695"/>
      <c r="D102" s="697"/>
      <c r="E102" s="697"/>
      <c r="F102" s="697"/>
      <c r="G102" s="697"/>
      <c r="H102" s="697"/>
      <c r="I102" s="695"/>
      <c r="J102" s="695"/>
      <c r="K102" s="697"/>
      <c r="L102" s="697"/>
      <c r="M102" s="697"/>
      <c r="N102" s="695"/>
      <c r="O102" s="695"/>
      <c r="P102" s="697"/>
      <c r="Q102" s="695"/>
      <c r="R102" s="682"/>
      <c r="S102" s="682"/>
      <c r="T102" s="682"/>
      <c r="U102" s="682"/>
      <c r="V102" s="682"/>
      <c r="W102" s="683"/>
      <c r="X102"/>
      <c r="Y102"/>
    </row>
    <row r="103" spans="1:25">
      <c r="A103" s="182"/>
      <c r="B103" s="243"/>
      <c r="C103" s="696"/>
      <c r="D103" s="698"/>
      <c r="E103" s="698"/>
      <c r="F103" s="698"/>
      <c r="G103" s="698"/>
      <c r="H103" s="698"/>
      <c r="I103" s="696"/>
      <c r="J103" s="696"/>
      <c r="K103" s="698"/>
      <c r="L103" s="698"/>
      <c r="M103" s="698"/>
      <c r="N103" s="696"/>
      <c r="O103" s="696"/>
      <c r="P103" s="698"/>
      <c r="Q103" s="696"/>
      <c r="R103" s="684"/>
      <c r="S103" s="684"/>
      <c r="T103" s="684"/>
      <c r="U103" s="684"/>
      <c r="V103" s="684"/>
      <c r="W103" s="685"/>
      <c r="X103"/>
      <c r="Y103"/>
    </row>
    <row r="104" spans="1:25">
      <c r="A104" s="669"/>
      <c r="B104" s="667"/>
      <c r="C104" s="692"/>
      <c r="D104" s="693"/>
      <c r="E104" s="693"/>
      <c r="F104" s="693"/>
      <c r="G104" s="693"/>
      <c r="H104" s="693"/>
      <c r="I104" s="692"/>
      <c r="J104" s="692"/>
      <c r="K104" s="693"/>
      <c r="L104" s="693"/>
      <c r="M104" s="693"/>
      <c r="N104" s="692"/>
      <c r="O104" s="692"/>
      <c r="P104" s="693"/>
      <c r="Q104" s="692"/>
      <c r="R104" s="676"/>
      <c r="S104" s="676"/>
      <c r="T104" s="676"/>
      <c r="U104" s="676"/>
      <c r="V104" s="676"/>
      <c r="W104" s="677"/>
      <c r="X104"/>
      <c r="Y104"/>
    </row>
    <row r="105" spans="1:25">
      <c r="A105" s="182"/>
      <c r="B105" s="31"/>
      <c r="C105" s="694"/>
      <c r="D105" s="107"/>
      <c r="E105" s="107"/>
      <c r="F105" s="107"/>
      <c r="G105" s="107"/>
      <c r="H105" s="107"/>
      <c r="I105" s="694"/>
      <c r="J105" s="694"/>
      <c r="K105" s="107"/>
      <c r="L105" s="107"/>
      <c r="M105" s="107"/>
      <c r="N105" s="694"/>
      <c r="O105" s="694"/>
      <c r="P105" s="107"/>
      <c r="Q105" s="694"/>
      <c r="R105" s="678"/>
      <c r="S105" s="678"/>
      <c r="T105" s="678"/>
      <c r="U105" s="678"/>
      <c r="V105" s="678"/>
      <c r="W105" s="679"/>
      <c r="X105"/>
      <c r="Y105"/>
    </row>
    <row r="106" spans="1:25">
      <c r="A106" s="182"/>
      <c r="B106" s="217"/>
      <c r="C106" s="695"/>
      <c r="D106" s="697"/>
      <c r="E106" s="697"/>
      <c r="F106" s="697"/>
      <c r="G106" s="697"/>
      <c r="H106" s="697"/>
      <c r="I106" s="695"/>
      <c r="J106" s="695"/>
      <c r="K106" s="697"/>
      <c r="L106" s="697"/>
      <c r="M106" s="697"/>
      <c r="N106" s="695"/>
      <c r="O106" s="695"/>
      <c r="P106" s="697"/>
      <c r="Q106" s="695"/>
      <c r="R106" s="680"/>
      <c r="S106" s="680"/>
      <c r="T106" s="680"/>
      <c r="U106" s="680"/>
      <c r="V106" s="680"/>
      <c r="W106" s="681"/>
      <c r="X106"/>
      <c r="Y106"/>
    </row>
    <row r="107" spans="1:25">
      <c r="A107" s="182"/>
      <c r="B107" s="31"/>
      <c r="C107" s="694"/>
      <c r="D107" s="107"/>
      <c r="E107" s="107"/>
      <c r="F107" s="107"/>
      <c r="G107" s="107"/>
      <c r="H107" s="107"/>
      <c r="I107" s="694"/>
      <c r="J107" s="694"/>
      <c r="K107" s="107"/>
      <c r="L107" s="107"/>
      <c r="M107" s="107"/>
      <c r="N107" s="694"/>
      <c r="O107" s="694"/>
      <c r="P107" s="107"/>
      <c r="Q107" s="694"/>
      <c r="R107" s="678"/>
      <c r="S107" s="678"/>
      <c r="T107" s="678"/>
      <c r="U107" s="678"/>
      <c r="V107" s="678"/>
      <c r="W107" s="679"/>
      <c r="X107"/>
      <c r="Y107"/>
    </row>
    <row r="108" spans="1:25">
      <c r="A108" s="182"/>
      <c r="B108" s="31"/>
      <c r="C108" s="694"/>
      <c r="D108" s="107"/>
      <c r="E108" s="107"/>
      <c r="F108" s="107"/>
      <c r="G108" s="107"/>
      <c r="H108" s="107"/>
      <c r="I108" s="694"/>
      <c r="J108" s="694"/>
      <c r="K108" s="107"/>
      <c r="L108" s="107"/>
      <c r="M108" s="107"/>
      <c r="N108" s="694"/>
      <c r="O108" s="694"/>
      <c r="P108" s="107"/>
      <c r="Q108" s="694"/>
      <c r="R108" s="678"/>
      <c r="S108" s="678"/>
      <c r="T108" s="678"/>
      <c r="U108" s="678"/>
      <c r="V108" s="678"/>
      <c r="W108" s="679"/>
      <c r="X108"/>
      <c r="Y108"/>
    </row>
    <row r="109" spans="1:25">
      <c r="A109" s="182"/>
      <c r="B109" s="223"/>
      <c r="C109" s="695"/>
      <c r="D109" s="697"/>
      <c r="E109" s="697"/>
      <c r="F109" s="697"/>
      <c r="G109" s="697"/>
      <c r="H109" s="697"/>
      <c r="I109" s="695"/>
      <c r="J109" s="695"/>
      <c r="K109" s="697"/>
      <c r="L109" s="697"/>
      <c r="M109" s="697"/>
      <c r="N109" s="695"/>
      <c r="O109" s="695"/>
      <c r="P109" s="697"/>
      <c r="Q109" s="695"/>
      <c r="R109" s="682"/>
      <c r="S109" s="682"/>
      <c r="T109" s="682"/>
      <c r="U109" s="682"/>
      <c r="V109" s="682"/>
      <c r="W109" s="683"/>
      <c r="X109"/>
      <c r="Y109"/>
    </row>
    <row r="110" spans="1:25">
      <c r="A110" s="182"/>
      <c r="B110" s="243"/>
      <c r="C110" s="696"/>
      <c r="D110" s="698"/>
      <c r="E110" s="698"/>
      <c r="F110" s="698"/>
      <c r="G110" s="698"/>
      <c r="H110" s="698"/>
      <c r="I110" s="696"/>
      <c r="J110" s="696"/>
      <c r="K110" s="698"/>
      <c r="L110" s="701"/>
      <c r="M110" s="701"/>
      <c r="N110" s="696"/>
      <c r="O110" s="696"/>
      <c r="P110" s="698"/>
      <c r="Q110" s="696"/>
      <c r="R110" s="684"/>
      <c r="S110" s="684"/>
      <c r="T110" s="684"/>
      <c r="U110" s="684"/>
      <c r="V110" s="684"/>
      <c r="W110" s="685"/>
      <c r="X110"/>
      <c r="Y110"/>
    </row>
    <row r="111" spans="1:25">
      <c r="A111" s="669"/>
      <c r="B111" s="667"/>
      <c r="C111" s="692"/>
      <c r="D111" s="693"/>
      <c r="E111" s="693"/>
      <c r="F111" s="693"/>
      <c r="G111" s="693"/>
      <c r="H111" s="693"/>
      <c r="I111" s="692"/>
      <c r="J111" s="692"/>
      <c r="K111" s="693"/>
      <c r="L111" s="693"/>
      <c r="M111" s="693"/>
      <c r="N111" s="692"/>
      <c r="O111" s="692"/>
      <c r="P111" s="693"/>
      <c r="Q111" s="692"/>
      <c r="R111" s="676"/>
      <c r="S111" s="676"/>
      <c r="T111" s="676"/>
      <c r="U111" s="676"/>
      <c r="V111" s="676"/>
      <c r="W111" s="677"/>
      <c r="X111"/>
      <c r="Y111"/>
    </row>
    <row r="112" spans="1:25">
      <c r="A112" s="182"/>
      <c r="B112" s="31"/>
      <c r="C112" s="694"/>
      <c r="D112" s="107"/>
      <c r="E112" s="107"/>
      <c r="F112" s="107"/>
      <c r="G112" s="107"/>
      <c r="H112" s="107"/>
      <c r="I112" s="694"/>
      <c r="J112" s="694"/>
      <c r="K112" s="107"/>
      <c r="L112" s="107"/>
      <c r="M112" s="107"/>
      <c r="N112" s="694"/>
      <c r="O112" s="694"/>
      <c r="P112" s="107"/>
      <c r="Q112" s="694"/>
      <c r="R112" s="678"/>
      <c r="S112" s="678"/>
      <c r="T112" s="678"/>
      <c r="U112" s="678"/>
      <c r="V112" s="678"/>
      <c r="W112" s="679"/>
      <c r="X112"/>
      <c r="Y112"/>
    </row>
    <row r="113" spans="1:25">
      <c r="A113" s="182"/>
      <c r="B113" s="217"/>
      <c r="C113" s="695"/>
      <c r="D113" s="697"/>
      <c r="E113" s="697"/>
      <c r="F113" s="697"/>
      <c r="G113" s="697"/>
      <c r="H113" s="697"/>
      <c r="I113" s="695"/>
      <c r="J113" s="695"/>
      <c r="K113" s="697"/>
      <c r="L113" s="697"/>
      <c r="M113" s="697"/>
      <c r="N113" s="695"/>
      <c r="O113" s="695"/>
      <c r="P113" s="697"/>
      <c r="Q113" s="695"/>
      <c r="R113" s="680"/>
      <c r="S113" s="680"/>
      <c r="T113" s="680"/>
      <c r="U113" s="680"/>
      <c r="V113" s="680"/>
      <c r="W113" s="681"/>
      <c r="X113"/>
      <c r="Y113"/>
    </row>
    <row r="114" spans="1:25">
      <c r="A114" s="182"/>
      <c r="B114" s="31"/>
      <c r="C114" s="694"/>
      <c r="D114" s="107"/>
      <c r="E114" s="107"/>
      <c r="F114" s="107"/>
      <c r="G114" s="107"/>
      <c r="H114" s="107"/>
      <c r="I114" s="694"/>
      <c r="J114" s="694"/>
      <c r="K114" s="107"/>
      <c r="L114" s="107"/>
      <c r="M114" s="107"/>
      <c r="N114" s="694"/>
      <c r="O114" s="694"/>
      <c r="P114" s="107"/>
      <c r="Q114" s="694"/>
      <c r="R114" s="678"/>
      <c r="S114" s="678"/>
      <c r="T114" s="678"/>
      <c r="U114" s="678"/>
      <c r="V114" s="678"/>
      <c r="W114" s="679"/>
      <c r="X114"/>
      <c r="Y114"/>
    </row>
    <row r="115" spans="1:25">
      <c r="A115" s="182"/>
      <c r="B115" s="31"/>
      <c r="C115" s="694"/>
      <c r="D115" s="107"/>
      <c r="E115" s="107"/>
      <c r="F115" s="107"/>
      <c r="G115" s="107"/>
      <c r="H115" s="107"/>
      <c r="I115" s="694"/>
      <c r="J115" s="694"/>
      <c r="K115" s="107"/>
      <c r="L115" s="107"/>
      <c r="M115" s="107"/>
      <c r="N115" s="694"/>
      <c r="O115" s="694"/>
      <c r="P115" s="107"/>
      <c r="Q115" s="694"/>
      <c r="R115" s="678"/>
      <c r="S115" s="678"/>
      <c r="T115" s="678"/>
      <c r="U115" s="678"/>
      <c r="V115" s="678"/>
      <c r="W115" s="679"/>
      <c r="X115"/>
      <c r="Y115"/>
    </row>
    <row r="116" spans="1:25">
      <c r="A116" s="182"/>
      <c r="B116" s="223"/>
      <c r="C116" s="695"/>
      <c r="D116" s="697"/>
      <c r="E116" s="697"/>
      <c r="F116" s="697"/>
      <c r="G116" s="697"/>
      <c r="H116" s="697"/>
      <c r="I116" s="695"/>
      <c r="J116" s="695"/>
      <c r="K116" s="697"/>
      <c r="L116" s="697"/>
      <c r="M116" s="697"/>
      <c r="N116" s="695"/>
      <c r="O116" s="695"/>
      <c r="P116" s="697"/>
      <c r="Q116" s="695"/>
      <c r="R116" s="682"/>
      <c r="S116" s="682"/>
      <c r="T116" s="682"/>
      <c r="U116" s="682"/>
      <c r="V116" s="682"/>
      <c r="W116" s="683"/>
      <c r="X116"/>
      <c r="Y116"/>
    </row>
    <row r="117" spans="1:25">
      <c r="A117" s="182"/>
      <c r="B117" s="243"/>
      <c r="C117" s="696"/>
      <c r="D117" s="698"/>
      <c r="E117" s="698"/>
      <c r="F117" s="698"/>
      <c r="G117" s="698"/>
      <c r="H117" s="698"/>
      <c r="I117" s="696"/>
      <c r="J117" s="696"/>
      <c r="K117" s="698"/>
      <c r="L117" s="698"/>
      <c r="M117" s="698"/>
      <c r="N117" s="696"/>
      <c r="O117" s="696"/>
      <c r="P117" s="698"/>
      <c r="Q117" s="696"/>
      <c r="R117" s="684"/>
      <c r="S117" s="684"/>
      <c r="T117" s="684"/>
      <c r="U117" s="684"/>
      <c r="V117" s="684"/>
      <c r="W117" s="685"/>
      <c r="X117"/>
      <c r="Y117"/>
    </row>
    <row r="118" spans="1:25">
      <c r="A118" s="702"/>
      <c r="B118" s="703"/>
      <c r="C118" s="704"/>
      <c r="D118" s="705"/>
      <c r="E118" s="705"/>
      <c r="F118" s="705"/>
      <c r="G118" s="705"/>
      <c r="H118" s="705"/>
      <c r="I118" s="704"/>
      <c r="J118" s="704"/>
      <c r="K118" s="705"/>
      <c r="L118" s="705"/>
      <c r="M118" s="705"/>
      <c r="N118" s="704"/>
      <c r="O118" s="704"/>
      <c r="P118" s="705"/>
      <c r="Q118" s="704"/>
      <c r="R118" s="676"/>
      <c r="S118" s="676"/>
      <c r="T118" s="676"/>
      <c r="U118" s="676"/>
      <c r="V118" s="676"/>
      <c r="W118" s="677"/>
      <c r="X118"/>
      <c r="Y118"/>
    </row>
    <row r="119" spans="1:25">
      <c r="A119" s="702"/>
      <c r="B119" s="706"/>
      <c r="C119" s="707"/>
      <c r="D119" s="666"/>
      <c r="E119" s="666"/>
      <c r="F119" s="666"/>
      <c r="G119" s="666"/>
      <c r="H119" s="666"/>
      <c r="I119" s="707"/>
      <c r="J119" s="707"/>
      <c r="K119" s="666"/>
      <c r="L119" s="666"/>
      <c r="M119" s="666"/>
      <c r="N119" s="707"/>
      <c r="O119" s="707"/>
      <c r="P119" s="666"/>
      <c r="Q119" s="707"/>
      <c r="R119" s="678"/>
      <c r="S119" s="678"/>
      <c r="T119" s="678"/>
      <c r="U119" s="678"/>
      <c r="V119" s="678"/>
      <c r="W119" s="679"/>
      <c r="X119"/>
      <c r="Y119"/>
    </row>
    <row r="120" spans="1:25">
      <c r="A120" s="702"/>
      <c r="B120" s="708"/>
      <c r="C120" s="709"/>
      <c r="D120" s="710"/>
      <c r="E120" s="710"/>
      <c r="F120" s="710"/>
      <c r="G120" s="710"/>
      <c r="H120" s="710"/>
      <c r="I120" s="709"/>
      <c r="J120" s="709"/>
      <c r="K120" s="710"/>
      <c r="L120" s="710"/>
      <c r="M120" s="710"/>
      <c r="N120" s="709"/>
      <c r="O120" s="709"/>
      <c r="P120" s="710"/>
      <c r="Q120" s="709"/>
      <c r="R120" s="680"/>
      <c r="S120" s="680"/>
      <c r="T120" s="680"/>
      <c r="U120" s="680"/>
      <c r="V120" s="680"/>
      <c r="W120" s="681"/>
      <c r="X120"/>
      <c r="Y120"/>
    </row>
    <row r="121" spans="1:25">
      <c r="A121" s="702"/>
      <c r="B121" s="706"/>
      <c r="C121" s="707"/>
      <c r="D121" s="666"/>
      <c r="E121" s="666"/>
      <c r="F121" s="666"/>
      <c r="G121" s="666"/>
      <c r="H121" s="666"/>
      <c r="I121" s="707"/>
      <c r="J121" s="707"/>
      <c r="K121" s="666"/>
      <c r="L121" s="666"/>
      <c r="M121" s="666"/>
      <c r="N121" s="707"/>
      <c r="O121" s="707"/>
      <c r="P121" s="666"/>
      <c r="Q121" s="707"/>
      <c r="R121" s="678"/>
      <c r="S121" s="678"/>
      <c r="T121" s="678"/>
      <c r="U121" s="678"/>
      <c r="V121" s="678"/>
      <c r="W121" s="679"/>
      <c r="X121"/>
      <c r="Y121"/>
    </row>
    <row r="122" spans="1:25">
      <c r="A122" s="702"/>
      <c r="B122" s="706"/>
      <c r="C122" s="707"/>
      <c r="D122" s="666"/>
      <c r="E122" s="666"/>
      <c r="F122" s="666"/>
      <c r="G122" s="666"/>
      <c r="H122" s="666"/>
      <c r="I122" s="707"/>
      <c r="J122" s="707"/>
      <c r="K122" s="666"/>
      <c r="L122" s="666"/>
      <c r="M122" s="666"/>
      <c r="N122" s="707"/>
      <c r="O122" s="707"/>
      <c r="P122" s="666"/>
      <c r="Q122" s="707"/>
      <c r="R122" s="678"/>
      <c r="S122" s="678"/>
      <c r="T122" s="678"/>
      <c r="U122" s="678"/>
      <c r="V122" s="678"/>
      <c r="W122" s="679"/>
      <c r="X122"/>
      <c r="Y122"/>
    </row>
    <row r="123" spans="1:25">
      <c r="A123" s="702"/>
      <c r="B123" s="711"/>
      <c r="C123" s="709"/>
      <c r="D123" s="710"/>
      <c r="E123" s="710"/>
      <c r="F123" s="710"/>
      <c r="G123" s="710"/>
      <c r="H123" s="710"/>
      <c r="I123" s="709"/>
      <c r="J123" s="709"/>
      <c r="K123" s="710"/>
      <c r="L123" s="710"/>
      <c r="M123" s="710"/>
      <c r="N123" s="709"/>
      <c r="O123" s="709"/>
      <c r="P123" s="710"/>
      <c r="Q123" s="709"/>
      <c r="R123" s="682"/>
      <c r="S123" s="682"/>
      <c r="T123" s="682"/>
      <c r="U123" s="682"/>
      <c r="V123" s="682"/>
      <c r="W123" s="683"/>
      <c r="X123"/>
      <c r="Y123"/>
    </row>
    <row r="124" spans="1:25">
      <c r="A124" s="702"/>
      <c r="B124" s="712"/>
      <c r="C124" s="713"/>
      <c r="D124" s="714"/>
      <c r="E124" s="714"/>
      <c r="F124" s="714"/>
      <c r="G124" s="714"/>
      <c r="H124" s="714"/>
      <c r="I124" s="713"/>
      <c r="J124" s="713"/>
      <c r="K124" s="714"/>
      <c r="L124" s="714"/>
      <c r="M124" s="714"/>
      <c r="N124" s="713"/>
      <c r="O124" s="713"/>
      <c r="P124" s="714"/>
      <c r="Q124" s="713"/>
      <c r="R124" s="699"/>
      <c r="S124" s="699"/>
      <c r="T124" s="699"/>
      <c r="U124" s="699"/>
      <c r="V124" s="699"/>
      <c r="W124" s="700"/>
      <c r="X124"/>
      <c r="Y124"/>
    </row>
    <row r="125" spans="1:25">
      <c r="A125" s="715"/>
      <c r="B125"/>
      <c r="C125" s="630"/>
      <c r="D125" s="630"/>
      <c r="E125" s="630"/>
      <c r="F125" s="630"/>
      <c r="G125" s="630"/>
      <c r="H125" s="630"/>
      <c r="I125" s="630"/>
      <c r="J125" s="630"/>
      <c r="K125" s="630"/>
      <c r="L125" s="630"/>
      <c r="M125" s="630"/>
      <c r="N125" s="630"/>
      <c r="O125" s="630"/>
      <c r="P125" s="630"/>
      <c r="Q125" s="630"/>
      <c r="R125"/>
      <c r="S125"/>
      <c r="T125"/>
      <c r="U125"/>
      <c r="V125"/>
      <c r="W125"/>
      <c r="X125"/>
      <c r="Y125"/>
    </row>
    <row r="126" spans="1:25">
      <c r="A126"/>
      <c r="B126"/>
      <c r="C126" s="630"/>
      <c r="D126" s="630"/>
      <c r="E126" s="630"/>
      <c r="F126" s="630"/>
      <c r="G126" s="630"/>
      <c r="H126" s="630"/>
      <c r="I126" s="630"/>
      <c r="J126" s="630"/>
      <c r="K126" s="630"/>
      <c r="L126" s="630"/>
      <c r="M126" s="630"/>
      <c r="N126" s="630"/>
      <c r="O126" s="630"/>
      <c r="P126" s="630"/>
      <c r="Q126" s="630"/>
      <c r="R126"/>
      <c r="S126"/>
      <c r="T126"/>
      <c r="U126"/>
      <c r="V126"/>
      <c r="W126"/>
      <c r="X126"/>
      <c r="Y126"/>
    </row>
    <row r="127" spans="1:25">
      <c r="A127"/>
      <c r="B127"/>
      <c r="C127" s="630"/>
      <c r="D127" s="630"/>
      <c r="E127" s="630"/>
      <c r="F127" s="630"/>
      <c r="G127" s="630"/>
      <c r="H127" s="630"/>
      <c r="I127" s="630"/>
      <c r="J127" s="630"/>
      <c r="K127" s="630"/>
      <c r="L127" s="630"/>
      <c r="M127" s="630"/>
      <c r="N127" s="630"/>
      <c r="O127" s="630"/>
      <c r="P127" s="630"/>
      <c r="Q127" s="630"/>
      <c r="R127"/>
      <c r="S127"/>
      <c r="T127"/>
      <c r="U127"/>
      <c r="V127"/>
      <c r="W127"/>
      <c r="X127"/>
      <c r="Y127"/>
    </row>
    <row r="128" spans="1:25">
      <c r="A128"/>
      <c r="B128"/>
      <c r="C128" s="630"/>
      <c r="D128" s="630"/>
      <c r="E128" s="630"/>
      <c r="F128" s="630"/>
      <c r="G128" s="630"/>
      <c r="H128" s="630"/>
      <c r="I128" s="630"/>
      <c r="J128" s="630"/>
      <c r="K128" s="630"/>
      <c r="L128" s="630"/>
      <c r="M128" s="630"/>
      <c r="N128" s="630"/>
      <c r="O128" s="630"/>
      <c r="P128" s="630"/>
      <c r="Q128" s="630"/>
      <c r="R128"/>
      <c r="S128"/>
      <c r="T128"/>
      <c r="U128"/>
      <c r="V128"/>
      <c r="W128"/>
      <c r="X128"/>
      <c r="Y128"/>
    </row>
    <row r="129" spans="1:25">
      <c r="A129"/>
      <c r="B129"/>
      <c r="C129" s="630"/>
      <c r="D129" s="630"/>
      <c r="E129" s="630"/>
      <c r="F129" s="630"/>
      <c r="G129" s="630"/>
      <c r="H129" s="630"/>
      <c r="I129" s="630"/>
      <c r="J129" s="630"/>
      <c r="K129" s="630"/>
      <c r="L129" s="630"/>
      <c r="M129" s="630"/>
      <c r="N129" s="630"/>
      <c r="O129" s="630"/>
      <c r="P129" s="630"/>
      <c r="Q129" s="630"/>
      <c r="R129"/>
      <c r="S129"/>
      <c r="T129"/>
      <c r="U129"/>
      <c r="V129"/>
      <c r="W129"/>
      <c r="X129"/>
      <c r="Y129"/>
    </row>
    <row r="130" spans="1:25">
      <c r="A130"/>
      <c r="B130"/>
      <c r="C130" s="630"/>
      <c r="D130" s="630"/>
      <c r="E130" s="630"/>
      <c r="F130" s="630"/>
      <c r="G130" s="630"/>
      <c r="H130" s="630"/>
      <c r="I130" s="630"/>
      <c r="J130" s="630"/>
      <c r="K130" s="630"/>
      <c r="L130" s="630"/>
      <c r="M130" s="630"/>
      <c r="N130" s="630"/>
      <c r="O130" s="630"/>
      <c r="P130" s="630"/>
      <c r="Q130" s="630"/>
      <c r="R130"/>
      <c r="S130"/>
      <c r="T130"/>
      <c r="U130"/>
      <c r="V130"/>
      <c r="W130"/>
      <c r="X130"/>
      <c r="Y130"/>
    </row>
    <row r="131" spans="1:25">
      <c r="A131"/>
      <c r="B131"/>
      <c r="C131" s="630"/>
      <c r="D131" s="630"/>
      <c r="E131" s="630"/>
      <c r="F131" s="630"/>
      <c r="G131" s="630"/>
      <c r="H131" s="630"/>
      <c r="I131" s="630"/>
      <c r="J131" s="630"/>
      <c r="K131" s="630"/>
      <c r="L131" s="630"/>
      <c r="M131" s="630"/>
      <c r="N131" s="630"/>
      <c r="O131" s="630"/>
      <c r="P131" s="630"/>
      <c r="Q131" s="630"/>
      <c r="R131"/>
      <c r="S131"/>
      <c r="T131"/>
      <c r="U131"/>
      <c r="V131"/>
      <c r="W131"/>
      <c r="X131"/>
      <c r="Y131"/>
    </row>
    <row r="132" spans="1:25">
      <c r="A132"/>
      <c r="B132"/>
      <c r="C132" s="630"/>
      <c r="D132" s="630"/>
      <c r="E132" s="630"/>
      <c r="F132" s="630"/>
      <c r="G132" s="630"/>
      <c r="H132" s="630"/>
      <c r="I132" s="630"/>
      <c r="J132" s="630"/>
      <c r="K132" s="630"/>
      <c r="L132" s="630"/>
      <c r="M132" s="630"/>
      <c r="N132" s="630"/>
      <c r="O132" s="630"/>
      <c r="P132" s="630"/>
      <c r="Q132" s="630"/>
      <c r="R132"/>
      <c r="S132"/>
      <c r="T132"/>
    </row>
    <row r="133" spans="1:25">
      <c r="A133"/>
      <c r="B133"/>
      <c r="C133" s="630"/>
      <c r="D133" s="630"/>
      <c r="E133" s="630"/>
      <c r="F133" s="630"/>
      <c r="G133" s="630"/>
      <c r="H133" s="630"/>
      <c r="I133" s="630"/>
      <c r="J133" s="630"/>
      <c r="K133" s="630"/>
      <c r="L133" s="630"/>
      <c r="M133" s="630"/>
      <c r="N133" s="630"/>
      <c r="O133" s="630"/>
      <c r="P133" s="630"/>
      <c r="Q133" s="630"/>
      <c r="R133"/>
      <c r="S133"/>
      <c r="T133"/>
    </row>
    <row r="134" spans="1:25">
      <c r="A134"/>
      <c r="B134"/>
      <c r="C134" s="630"/>
      <c r="D134" s="630"/>
      <c r="E134" s="630"/>
      <c r="F134" s="630"/>
      <c r="G134" s="630"/>
      <c r="H134" s="630"/>
      <c r="I134" s="630"/>
      <c r="J134" s="630"/>
      <c r="K134" s="630"/>
      <c r="L134" s="630"/>
      <c r="M134" s="630"/>
      <c r="N134" s="630"/>
      <c r="O134" s="630"/>
      <c r="P134" s="630"/>
      <c r="Q134" s="630"/>
      <c r="R134"/>
      <c r="S134"/>
      <c r="T134"/>
    </row>
    <row r="135" spans="1:25">
      <c r="A135"/>
      <c r="B135"/>
      <c r="C135" s="630"/>
      <c r="D135" s="630"/>
      <c r="E135" s="630"/>
      <c r="F135" s="630"/>
      <c r="G135" s="630"/>
      <c r="H135" s="630"/>
      <c r="I135" s="630"/>
      <c r="J135" s="630"/>
      <c r="K135" s="630"/>
      <c r="L135" s="630"/>
      <c r="M135" s="630"/>
      <c r="N135" s="630"/>
      <c r="O135" s="630"/>
      <c r="P135" s="630"/>
      <c r="Q135" s="630"/>
      <c r="R135"/>
      <c r="S135"/>
      <c r="T135"/>
    </row>
    <row r="136" spans="1:25">
      <c r="A136"/>
      <c r="B136"/>
      <c r="C136" s="630"/>
      <c r="D136" s="630"/>
      <c r="E136" s="630"/>
      <c r="F136" s="630"/>
      <c r="G136" s="630"/>
      <c r="H136" s="630"/>
      <c r="I136" s="630"/>
      <c r="J136" s="630"/>
      <c r="K136" s="630"/>
      <c r="L136" s="630"/>
      <c r="M136" s="630"/>
      <c r="N136" s="630"/>
      <c r="O136" s="630"/>
      <c r="P136" s="630"/>
      <c r="Q136" s="630"/>
      <c r="R136"/>
      <c r="S136"/>
      <c r="T136"/>
    </row>
    <row r="137" spans="1:25">
      <c r="A137"/>
      <c r="B137"/>
      <c r="C137" s="630"/>
      <c r="D137" s="630"/>
      <c r="E137" s="630"/>
      <c r="F137" s="630"/>
      <c r="G137" s="630"/>
      <c r="H137" s="630"/>
      <c r="I137" s="630"/>
      <c r="J137" s="630"/>
      <c r="K137" s="630"/>
      <c r="L137" s="630"/>
      <c r="M137" s="630"/>
      <c r="N137" s="630"/>
      <c r="O137" s="630"/>
      <c r="P137" s="630"/>
      <c r="Q137" s="630"/>
      <c r="R137"/>
      <c r="S137"/>
      <c r="T137"/>
    </row>
    <row r="138" spans="1:25">
      <c r="A138"/>
      <c r="B138"/>
      <c r="C138" s="630"/>
      <c r="D138" s="630"/>
      <c r="E138" s="630"/>
      <c r="F138" s="630"/>
      <c r="G138" s="630"/>
      <c r="H138" s="630"/>
      <c r="I138" s="630"/>
      <c r="J138" s="630"/>
      <c r="K138" s="630"/>
      <c r="L138" s="630"/>
      <c r="M138" s="630"/>
      <c r="N138" s="630"/>
      <c r="O138" s="630"/>
      <c r="P138" s="630"/>
      <c r="Q138" s="630"/>
      <c r="R138"/>
      <c r="S138"/>
      <c r="T138"/>
    </row>
    <row r="139" spans="1:25">
      <c r="A139"/>
      <c r="B139"/>
      <c r="C139" s="630"/>
      <c r="D139" s="630"/>
      <c r="E139" s="630"/>
      <c r="F139" s="630"/>
      <c r="G139" s="630"/>
      <c r="H139" s="630"/>
      <c r="I139" s="630"/>
      <c r="J139" s="630"/>
      <c r="K139" s="630"/>
      <c r="L139" s="630"/>
      <c r="M139" s="630"/>
      <c r="N139" s="630"/>
      <c r="O139" s="630"/>
      <c r="P139" s="630"/>
      <c r="Q139" s="630"/>
      <c r="R139"/>
      <c r="S139"/>
      <c r="T139"/>
    </row>
    <row r="140" spans="1:25">
      <c r="A140"/>
      <c r="B140"/>
      <c r="C140" s="630"/>
      <c r="D140" s="630"/>
      <c r="E140" s="630"/>
      <c r="F140" s="630"/>
      <c r="G140" s="630"/>
      <c r="H140" s="630"/>
      <c r="I140" s="630"/>
      <c r="J140" s="630"/>
      <c r="K140" s="630"/>
      <c r="L140" s="630"/>
      <c r="M140" s="630"/>
      <c r="N140" s="630"/>
      <c r="O140" s="630"/>
      <c r="P140" s="630"/>
      <c r="Q140" s="630"/>
      <c r="R140"/>
      <c r="S140"/>
      <c r="T140"/>
    </row>
    <row r="141" spans="1:25">
      <c r="A141"/>
      <c r="B141"/>
      <c r="C141" s="630"/>
      <c r="D141" s="630"/>
      <c r="E141" s="630"/>
      <c r="F141" s="630"/>
      <c r="G141" s="630"/>
      <c r="H141" s="630"/>
      <c r="I141" s="630"/>
      <c r="J141" s="630"/>
      <c r="K141" s="630"/>
      <c r="L141" s="630"/>
      <c r="M141" s="630"/>
      <c r="N141" s="630"/>
      <c r="O141" s="630"/>
      <c r="P141" s="630"/>
      <c r="Q141" s="630"/>
      <c r="R141"/>
      <c r="S141"/>
      <c r="T14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31</vt:i4>
      </vt:variant>
    </vt:vector>
  </HeadingPairs>
  <TitlesOfParts>
    <vt:vector size="38" baseType="lpstr">
      <vt:lpstr>NEW-Tables 80-86</vt:lpstr>
      <vt:lpstr>OLD Tables</vt:lpstr>
      <vt:lpstr>FTE Pivot for regular counts</vt:lpstr>
      <vt:lpstr>Pivot-HS Student % of Undergrad</vt:lpstr>
      <vt:lpstr>SCH Data</vt:lpstr>
      <vt:lpstr>Format for FTE</vt:lpstr>
      <vt:lpstr>Format for HS%</vt:lpstr>
      <vt:lpstr>'SCH Data'!CH11ug1</vt:lpstr>
      <vt:lpstr>'SCH Data'!CH11ug2_1</vt:lpstr>
      <vt:lpstr>'SCH Data'!CH11ug3_1</vt:lpstr>
      <vt:lpstr>'SCH Data'!CH11ug4_1</vt:lpstr>
      <vt:lpstr>'SCH Data'!Dual07</vt:lpstr>
      <vt:lpstr>'SCH Data'!Dual07_1</vt:lpstr>
      <vt:lpstr>'SCH Data'!Dual07_2</vt:lpstr>
      <vt:lpstr>'SCH Data'!Dual08_1</vt:lpstr>
      <vt:lpstr>'SCH Data'!Dual11_1</vt:lpstr>
      <vt:lpstr>'SCH Data'!JrCH08ug1_1</vt:lpstr>
      <vt:lpstr>'SCH Data'!JrCH08ug2_1</vt:lpstr>
      <vt:lpstr>'SCH Data'!JrCH08ug3_1</vt:lpstr>
      <vt:lpstr>'SCH Data'!JrCH08ug4_1</vt:lpstr>
      <vt:lpstr>'SCH Data'!JrSCH08ug1_1</vt:lpstr>
      <vt:lpstr>'SCH Data'!JrSCH08ug2_1</vt:lpstr>
      <vt:lpstr>'SCH Data'!JrSCH08ug3_1</vt:lpstr>
      <vt:lpstr>'SCH Data'!JrSCH08ug4_1</vt:lpstr>
      <vt:lpstr>'FTE Pivot for regular counts'!Print_Area</vt:lpstr>
      <vt:lpstr>'NEW-Tables 80-86'!Print_Area</vt:lpstr>
      <vt:lpstr>'OLD Tables'!Print_Area</vt:lpstr>
      <vt:lpstr>'Pivot-HS Student % of Undergrad'!Print_Area</vt:lpstr>
      <vt:lpstr>'SCH Data'!Print_Area</vt:lpstr>
      <vt:lpstr>'FTE Pivot for regular counts'!Print_Titles</vt:lpstr>
      <vt:lpstr>'Pivot-HS Student % of Undergrad'!Print_Titles</vt:lpstr>
      <vt:lpstr>'SCH Data'!Print_Titles</vt:lpstr>
      <vt:lpstr>'SCH Data'!SrSCH08gr2_1</vt:lpstr>
      <vt:lpstr>'SCH Data'!SrSCH08gr3_1</vt:lpstr>
      <vt:lpstr>'SCH Data'!SrSCH08gr4_1</vt:lpstr>
      <vt:lpstr>'SCH Data'!SrSCH08ug2_1</vt:lpstr>
      <vt:lpstr>'SCH Data'!SrSCH08ug3_1</vt:lpstr>
      <vt:lpstr>'SCH Data'!SrSCH08ug4_1</vt:lpstr>
    </vt:vector>
  </TitlesOfParts>
  <Company>SREB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jmarks</cp:lastModifiedBy>
  <cp:lastPrinted>2013-01-15T20:05:02Z</cp:lastPrinted>
  <dcterms:created xsi:type="dcterms:W3CDTF">1999-02-24T13:58:47Z</dcterms:created>
  <dcterms:modified xsi:type="dcterms:W3CDTF">2013-02-05T19:59:33Z</dcterms:modified>
</cp:coreProperties>
</file>